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165" windowWidth="15195" windowHeight="11580" firstSheet="1" activeTab="21"/>
  </bookViews>
  <sheets>
    <sheet name="กำหนดการเข้าเยี่ยม(เปลี่ยนแปลง)" sheetId="73" state="hidden" r:id="rId1"/>
    <sheet name="ปก" sheetId="8" r:id="rId2"/>
    <sheet name="สรุปตัวชี้วัด" sheetId="74" r:id="rId3"/>
    <sheet name="เป้าหมายคุณภาพ" sheetId="88" r:id="rId4"/>
    <sheet name="รายนามคณะกรรมการ" sheetId="77" state="hidden" r:id="rId5"/>
    <sheet name="ประวัติ" sheetId="79" r:id="rId6"/>
    <sheet name="คณบดีรับรอง" sheetId="78" state="hidden" r:id="rId7"/>
    <sheet name="1.1" sheetId="41" state="hidden" r:id="rId8"/>
    <sheet name="1-16.1" sheetId="42" state="hidden" r:id="rId9"/>
    <sheet name="1-16.2" sheetId="26" r:id="rId10"/>
    <sheet name="1-17" sheetId="43" state="hidden" r:id="rId11"/>
    <sheet name="2.1" sheetId="33" r:id="rId12"/>
    <sheet name="2.2" sheetId="35" r:id="rId13"/>
    <sheet name="2.3" sheetId="34" r:id="rId14"/>
    <sheet name="2.4" sheetId="44" state="hidden" r:id="rId15"/>
    <sheet name="2.5" sheetId="45" state="hidden" r:id="rId16"/>
    <sheet name="2.6" sheetId="39" r:id="rId17"/>
    <sheet name="2.7" sheetId="38" r:id="rId18"/>
    <sheet name="2.8" sheetId="46" state="hidden" r:id="rId19"/>
    <sheet name="2-1" sheetId="47" r:id="rId20"/>
    <sheet name="2-2" sheetId="24" r:id="rId21"/>
    <sheet name="2-3" sheetId="80" r:id="rId22"/>
    <sheet name="2-4" sheetId="30" r:id="rId23"/>
    <sheet name="2-14" sheetId="28" r:id="rId24"/>
    <sheet name="3.1" sheetId="48" state="hidden" r:id="rId25"/>
    <sheet name="3.2" sheetId="49" state="hidden" r:id="rId26"/>
    <sheet name="4.1" sheetId="50" state="hidden" r:id="rId27"/>
    <sheet name="4.2" sheetId="51" state="hidden" r:id="rId28"/>
    <sheet name="4.3" sheetId="9" r:id="rId29"/>
    <sheet name="4-5" sheetId="31" r:id="rId30"/>
    <sheet name="4-6" sheetId="52" r:id="rId31"/>
    <sheet name="4-7" sheetId="53" r:id="rId32"/>
    <sheet name="5.1" sheetId="54" state="hidden" r:id="rId33"/>
    <sheet name="5.2" sheetId="55" state="hidden" r:id="rId34"/>
    <sheet name="5-8" sheetId="56" r:id="rId35"/>
    <sheet name="5-9" sheetId="57" state="hidden" r:id="rId36"/>
    <sheet name="5-18.1" sheetId="58" state="hidden" r:id="rId37"/>
    <sheet name="5-18.2" sheetId="59" state="hidden" r:id="rId38"/>
    <sheet name="6.1" sheetId="60" state="hidden" r:id="rId39"/>
    <sheet name="6-10" sheetId="61" state="hidden" r:id="rId40"/>
    <sheet name="6-11" sheetId="62" state="hidden" r:id="rId41"/>
    <sheet name="7.1" sheetId="63" state="hidden" r:id="rId42"/>
    <sheet name="7.2" sheetId="64" state="hidden" r:id="rId43"/>
    <sheet name="7.3" sheetId="65" state="hidden" r:id="rId44"/>
    <sheet name="7.4" sheetId="66" state="hidden" r:id="rId45"/>
    <sheet name="7-12" sheetId="67" state="hidden" r:id="rId46"/>
    <sheet name="7-13" sheetId="68" state="hidden" r:id="rId47"/>
    <sheet name="8.1" sheetId="69" state="hidden" r:id="rId48"/>
    <sheet name="9.1" sheetId="70" state="hidden" r:id="rId49"/>
    <sheet name="9-15" sheetId="71" r:id="rId50"/>
    <sheet name="10-1" sheetId="72" r:id="rId51"/>
    <sheet name="3D11.1" sheetId="89" state="hidden" r:id="rId52"/>
    <sheet name="3D11.2" sheetId="90" state="hidden" r:id="rId53"/>
    <sheet name="ส.1" sheetId="75" r:id="rId54"/>
    <sheet name="ส.2" sheetId="84" state="hidden" r:id="rId55"/>
    <sheet name="ส.3" sheetId="85" state="hidden" r:id="rId56"/>
    <sheet name="ส.4" sheetId="86" state="hidden" r:id="rId57"/>
    <sheet name="ส.5" sheetId="87" state="hidden" r:id="rId58"/>
    <sheet name="จุดที่ควรพัฒนารายองค์" sheetId="83" r:id="rId59"/>
    <sheet name="รวมจุดเด่น-พัฒนา-แนวทางการแก้ไข" sheetId="40" state="hidden" r:id="rId60"/>
    <sheet name="Sheet27" sheetId="76" state="hidden" r:id="rId61"/>
    <sheet name="ป.1 สมศ. 3 ปีย้อนหลัง" sheetId="81" state="hidden" r:id="rId62"/>
    <sheet name="commonDATAset" sheetId="82" r:id="rId63"/>
  </sheets>
  <externalReferences>
    <externalReference r:id="rId64"/>
  </externalReferences>
  <definedNames>
    <definedName name="_xlnm._FilterDatabase" localSheetId="1" hidden="1">ปก!$A$8:$B$9</definedName>
    <definedName name="d" localSheetId="52">ปก!#REF!</definedName>
    <definedName name="d">ปก!#REF!</definedName>
    <definedName name="file" localSheetId="7">ปก!#REF!</definedName>
    <definedName name="file" localSheetId="50">ปก!#REF!</definedName>
    <definedName name="file" localSheetId="8">ปก!#REF!</definedName>
    <definedName name="file" localSheetId="10">ปก!#REF!</definedName>
    <definedName name="file" localSheetId="14">ปก!#REF!</definedName>
    <definedName name="file" localSheetId="15">ปก!#REF!</definedName>
    <definedName name="file" localSheetId="18">ปก!#REF!</definedName>
    <definedName name="file" localSheetId="19">ปก!#REF!</definedName>
    <definedName name="file" localSheetId="24">ปก!#REF!</definedName>
    <definedName name="file" localSheetId="25">ปก!#REF!</definedName>
    <definedName name="file" localSheetId="51">ปก!#REF!</definedName>
    <definedName name="file" localSheetId="52">ปก!#REF!</definedName>
    <definedName name="file" localSheetId="26">ปก!#REF!</definedName>
    <definedName name="file" localSheetId="27">ปก!#REF!</definedName>
    <definedName name="file" localSheetId="30">ปก!#REF!</definedName>
    <definedName name="file" localSheetId="31">ปก!#REF!</definedName>
    <definedName name="file" localSheetId="32">ปก!#REF!</definedName>
    <definedName name="file" localSheetId="33">ปก!#REF!</definedName>
    <definedName name="file" localSheetId="36">ปก!#REF!</definedName>
    <definedName name="file" localSheetId="37">ปก!#REF!</definedName>
    <definedName name="file" localSheetId="34">ปก!#REF!</definedName>
    <definedName name="file" localSheetId="35">ปก!#REF!</definedName>
    <definedName name="file" localSheetId="38">ปก!#REF!</definedName>
    <definedName name="file" localSheetId="39">ปก!#REF!</definedName>
    <definedName name="file" localSheetId="40">ปก!#REF!</definedName>
    <definedName name="file" localSheetId="41">ปก!#REF!</definedName>
    <definedName name="file" localSheetId="42">ปก!#REF!</definedName>
    <definedName name="file" localSheetId="43">ปก!#REF!</definedName>
    <definedName name="file" localSheetId="44">ปก!#REF!</definedName>
    <definedName name="file" localSheetId="45">ปก!#REF!</definedName>
    <definedName name="file" localSheetId="46">ปก!#REF!</definedName>
    <definedName name="file" localSheetId="47">ปก!#REF!</definedName>
    <definedName name="file" localSheetId="48">ปก!#REF!</definedName>
    <definedName name="file" localSheetId="49">ปก!#REF!</definedName>
    <definedName name="file" localSheetId="3">ปก!#REF!</definedName>
    <definedName name="file" localSheetId="61">ปก!#REF!</definedName>
    <definedName name="file">ปก!#REF!</definedName>
    <definedName name="_xlnm.Print_Area" localSheetId="7">'1.1'!$A$1:$G$39</definedName>
    <definedName name="_xlnm.Print_Area" localSheetId="50">'10-1'!$A$1:$O$24</definedName>
    <definedName name="_xlnm.Print_Area" localSheetId="8">'1-16.1'!$A$1:$G$31</definedName>
    <definedName name="_xlnm.Print_Area" localSheetId="9">'1-16.2'!$A$1:$J$32</definedName>
    <definedName name="_xlnm.Print_Area" localSheetId="10">'1-17'!$A$1:$G$35</definedName>
    <definedName name="_xlnm.Print_Area" localSheetId="11">'2.1'!$A$1:$L$29</definedName>
    <definedName name="_xlnm.Print_Area" localSheetId="12">'2.2'!$A$1:$H$49</definedName>
    <definedName name="_xlnm.Print_Area" localSheetId="13">'2.3'!$A$1:$H$51</definedName>
    <definedName name="_xlnm.Print_Area" localSheetId="14">'2.4'!$A$1:$G$26</definedName>
    <definedName name="_xlnm.Print_Area" localSheetId="15">'2.5'!$A$1:$G$26</definedName>
    <definedName name="_xlnm.Print_Area" localSheetId="16">'2.6'!$A$1:$G$26</definedName>
    <definedName name="_xlnm.Print_Area" localSheetId="17">'2.7'!$A$1:$G$24</definedName>
    <definedName name="_xlnm.Print_Area" localSheetId="18">'2.8'!$A$1:$G$24</definedName>
    <definedName name="_xlnm.Print_Area" localSheetId="19">'2-1'!$A$1:$I$38</definedName>
    <definedName name="_xlnm.Print_Area" localSheetId="23">'2-14'!$A$1:$L$48</definedName>
    <definedName name="_xlnm.Print_Area" localSheetId="20">'2-2'!$A$1:$L$44</definedName>
    <definedName name="_xlnm.Print_Area" localSheetId="21">'2-3'!$A$1:$I$45</definedName>
    <definedName name="_xlnm.Print_Area" localSheetId="24">'3.1'!$A$1:$G$38</definedName>
    <definedName name="_xlnm.Print_Area" localSheetId="25">'3.2'!$A$1:$G$37</definedName>
    <definedName name="_xlnm.Print_Area" localSheetId="51">'3D11.1'!$A$1:$O$24</definedName>
    <definedName name="_xlnm.Print_Area" localSheetId="52">'3D11.2'!$A$1:$O$18</definedName>
    <definedName name="_xlnm.Print_Area" localSheetId="26">'4.1'!$A$1:$G$39</definedName>
    <definedName name="_xlnm.Print_Area" localSheetId="27">'4.2'!$A$1:$G$24</definedName>
    <definedName name="_xlnm.Print_Area" localSheetId="28">'4.3'!$A$1:$H$54</definedName>
    <definedName name="_xlnm.Print_Area" localSheetId="29">'4-5'!$A$1:$P$51</definedName>
    <definedName name="_xlnm.Print_Area" localSheetId="30">'4-6'!$A$1:$P$38</definedName>
    <definedName name="_xlnm.Print_Area" localSheetId="31">'4-7'!$A$1:$I$37</definedName>
    <definedName name="_xlnm.Print_Area" localSheetId="32">'5.1'!$A$1:$G$24</definedName>
    <definedName name="_xlnm.Print_Area" localSheetId="33">'5.2'!$A$1:$G$24</definedName>
    <definedName name="_xlnm.Print_Area" localSheetId="36">'5-18.1'!$A$1:$G$24</definedName>
    <definedName name="_xlnm.Print_Area" localSheetId="37">'5-18.2'!$A$1:$G$24</definedName>
    <definedName name="_xlnm.Print_Area" localSheetId="34">'5-8'!$A$1:$I$31</definedName>
    <definedName name="_xlnm.Print_Area" localSheetId="35">'5-9'!$A$1:$G$24</definedName>
    <definedName name="_xlnm.Print_Area" localSheetId="38">'6.1'!$A$1:$G$37</definedName>
    <definedName name="_xlnm.Print_Area" localSheetId="39">'6-10'!$A$1:$G$32</definedName>
    <definedName name="_xlnm.Print_Area" localSheetId="40">'6-11'!$A$1:$G$32</definedName>
    <definedName name="_xlnm.Print_Area" localSheetId="41">'7.1'!$A$1:$G$38</definedName>
    <definedName name="_xlnm.Print_Area" localSheetId="42">'7.2'!$A$1:$G$32</definedName>
    <definedName name="_xlnm.Print_Area" localSheetId="43">'7.3'!$A$1:$G$32</definedName>
    <definedName name="_xlnm.Print_Area" localSheetId="44">'7.4'!$A$1:$G$37</definedName>
    <definedName name="_xlnm.Print_Area" localSheetId="45">'7-12'!$A$1:$I$20</definedName>
    <definedName name="_xlnm.Print_Area" localSheetId="46">'7-13'!$A$1:$J$21</definedName>
    <definedName name="_xlnm.Print_Area" localSheetId="47">'8.1'!$A$1:$G$38</definedName>
    <definedName name="_xlnm.Print_Area" localSheetId="48">'9.1'!$A$1:$G$39</definedName>
    <definedName name="_xlnm.Print_Area" localSheetId="49">'9-15'!$A$1:$I$20</definedName>
    <definedName name="_xlnm.Print_Area" localSheetId="62">commonDATAset!$A$1:$G$314</definedName>
    <definedName name="_xlnm.Print_Area" localSheetId="3">เป้าหมายคุณภาพ!$A$1:$E$73</definedName>
    <definedName name="_xlnm.Print_Area" localSheetId="6">คณบดีรับรอง!$A$1:$K$26</definedName>
    <definedName name="_xlnm.Print_Area" localSheetId="61">'ป.1 สมศ. 3 ปีย้อนหลัง'!$A$1:$R$71</definedName>
    <definedName name="_xlnm.Print_Area" localSheetId="1">ปก!$A$1:$B$41</definedName>
    <definedName name="_xlnm.Print_Area" localSheetId="5">ประวัติ!$A$1:$L$30</definedName>
    <definedName name="_xlnm.Print_Area" localSheetId="4">รายนามคณะกรรมการ!$A$1:$J$107</definedName>
    <definedName name="_xlnm.Print_Area" localSheetId="53">ส.1!$A$1:$R$74</definedName>
    <definedName name="_xlnm.Print_Area" localSheetId="55">ส.3!$A$1:$G$11</definedName>
    <definedName name="_xlnm.Print_Area" localSheetId="56">ส.4!$A$1:$G$10</definedName>
    <definedName name="_xlnm.Print_Area" localSheetId="57">ส.5!$A$1:$G$18</definedName>
    <definedName name="_xlnm.Print_Area" localSheetId="2">สรุปตัวชี้วัด!$A$1:$J$52</definedName>
    <definedName name="_xlnm.Print_Titles" localSheetId="3">เป้าหมายคุณภาพ!$4:$5</definedName>
    <definedName name="_xlnm.Print_Titles" localSheetId="61">'ป.1 สมศ. 3 ปีย้อนหลัง'!$4:$5</definedName>
    <definedName name="_xlnm.Print_Titles" localSheetId="53">ส.1!$4:$5</definedName>
    <definedName name="reKPI1" localSheetId="7">#REF!</definedName>
    <definedName name="reKPI1" localSheetId="50">#REF!</definedName>
    <definedName name="reKPI1" localSheetId="8">#REF!</definedName>
    <definedName name="reKPI1" localSheetId="10">#REF!</definedName>
    <definedName name="reKPI1" localSheetId="14">#REF!</definedName>
    <definedName name="reKPI1" localSheetId="15">#REF!</definedName>
    <definedName name="reKPI1" localSheetId="18">#REF!</definedName>
    <definedName name="reKPI1" localSheetId="19">#REF!</definedName>
    <definedName name="reKPI1" localSheetId="24">#REF!</definedName>
    <definedName name="reKPI1" localSheetId="25">#REF!</definedName>
    <definedName name="reKPI1" localSheetId="51">#REF!</definedName>
    <definedName name="reKPI1" localSheetId="52">#REF!</definedName>
    <definedName name="reKPI1" localSheetId="26">#REF!</definedName>
    <definedName name="reKPI1" localSheetId="27">#REF!</definedName>
    <definedName name="reKPI1" localSheetId="30">#REF!</definedName>
    <definedName name="reKPI1" localSheetId="31">#REF!</definedName>
    <definedName name="reKPI1" localSheetId="32">#REF!</definedName>
    <definedName name="reKPI1" localSheetId="33">#REF!</definedName>
    <definedName name="reKPI1" localSheetId="36">#REF!</definedName>
    <definedName name="reKPI1" localSheetId="37">#REF!</definedName>
    <definedName name="reKPI1" localSheetId="34">#REF!</definedName>
    <definedName name="reKPI1" localSheetId="35">#REF!</definedName>
    <definedName name="reKPI1" localSheetId="38">#REF!</definedName>
    <definedName name="reKPI1" localSheetId="39">#REF!</definedName>
    <definedName name="reKPI1" localSheetId="40">#REF!</definedName>
    <definedName name="reKPI1" localSheetId="41">#REF!</definedName>
    <definedName name="reKPI1" localSheetId="42">#REF!</definedName>
    <definedName name="reKPI1" localSheetId="43">#REF!</definedName>
    <definedName name="reKPI1" localSheetId="44">#REF!</definedName>
    <definedName name="reKPI1" localSheetId="45">#REF!</definedName>
    <definedName name="reKPI1" localSheetId="46">#REF!</definedName>
    <definedName name="reKPI1" localSheetId="47">#REF!</definedName>
    <definedName name="reKPI1" localSheetId="48">#REF!</definedName>
    <definedName name="reKPI1" localSheetId="49">#REF!</definedName>
    <definedName name="reKPI1" localSheetId="3">#REF!</definedName>
    <definedName name="reKPI1" localSheetId="61">#REF!</definedName>
    <definedName name="reKPI1">#REF!</definedName>
    <definedName name="reKPI10" localSheetId="7">#REF!</definedName>
    <definedName name="reKPI10" localSheetId="50">#REF!</definedName>
    <definedName name="reKPI10" localSheetId="8">#REF!</definedName>
    <definedName name="reKPI10" localSheetId="10">#REF!</definedName>
    <definedName name="reKPI10" localSheetId="14">#REF!</definedName>
    <definedName name="reKPI10" localSheetId="15">#REF!</definedName>
    <definedName name="reKPI10" localSheetId="18">#REF!</definedName>
    <definedName name="reKPI10" localSheetId="19">#REF!</definedName>
    <definedName name="reKPI10" localSheetId="24">#REF!</definedName>
    <definedName name="reKPI10" localSheetId="25">#REF!</definedName>
    <definedName name="reKPI10" localSheetId="51">#REF!</definedName>
    <definedName name="reKPI10" localSheetId="52">#REF!</definedName>
    <definedName name="reKPI10" localSheetId="26">#REF!</definedName>
    <definedName name="reKPI10" localSheetId="27">#REF!</definedName>
    <definedName name="reKPI10" localSheetId="30">#REF!</definedName>
    <definedName name="reKPI10" localSheetId="31">#REF!</definedName>
    <definedName name="reKPI10" localSheetId="32">#REF!</definedName>
    <definedName name="reKPI10" localSheetId="33">#REF!</definedName>
    <definedName name="reKPI10" localSheetId="36">#REF!</definedName>
    <definedName name="reKPI10" localSheetId="37">#REF!</definedName>
    <definedName name="reKPI10" localSheetId="34">#REF!</definedName>
    <definedName name="reKPI10" localSheetId="35">#REF!</definedName>
    <definedName name="reKPI10" localSheetId="38">#REF!</definedName>
    <definedName name="reKPI10" localSheetId="39">#REF!</definedName>
    <definedName name="reKPI10" localSheetId="40">#REF!</definedName>
    <definedName name="reKPI10" localSheetId="41">#REF!</definedName>
    <definedName name="reKPI10" localSheetId="42">#REF!</definedName>
    <definedName name="reKPI10" localSheetId="43">#REF!</definedName>
    <definedName name="reKPI10" localSheetId="44">#REF!</definedName>
    <definedName name="reKPI10" localSheetId="45">#REF!</definedName>
    <definedName name="reKPI10" localSheetId="46">#REF!</definedName>
    <definedName name="reKPI10" localSheetId="47">#REF!</definedName>
    <definedName name="reKPI10" localSheetId="48">#REF!</definedName>
    <definedName name="reKPI10" localSheetId="49">#REF!</definedName>
    <definedName name="reKPI10" localSheetId="3">#REF!</definedName>
    <definedName name="reKPI10" localSheetId="61">#REF!</definedName>
    <definedName name="reKPI10">#REF!</definedName>
    <definedName name="reKPI11" localSheetId="7">#REF!</definedName>
    <definedName name="reKPI11" localSheetId="50">#REF!</definedName>
    <definedName name="reKPI11" localSheetId="8">#REF!</definedName>
    <definedName name="reKPI11" localSheetId="10">#REF!</definedName>
    <definedName name="reKPI11" localSheetId="14">#REF!</definedName>
    <definedName name="reKPI11" localSheetId="15">#REF!</definedName>
    <definedName name="reKPI11" localSheetId="18">#REF!</definedName>
    <definedName name="reKPI11" localSheetId="19">#REF!</definedName>
    <definedName name="reKPI11" localSheetId="24">#REF!</definedName>
    <definedName name="reKPI11" localSheetId="25">#REF!</definedName>
    <definedName name="reKPI11" localSheetId="51">#REF!</definedName>
    <definedName name="reKPI11" localSheetId="52">#REF!</definedName>
    <definedName name="reKPI11" localSheetId="26">#REF!</definedName>
    <definedName name="reKPI11" localSheetId="27">#REF!</definedName>
    <definedName name="reKPI11" localSheetId="30">#REF!</definedName>
    <definedName name="reKPI11" localSheetId="31">#REF!</definedName>
    <definedName name="reKPI11" localSheetId="32">#REF!</definedName>
    <definedName name="reKPI11" localSheetId="33">#REF!</definedName>
    <definedName name="reKPI11" localSheetId="36">#REF!</definedName>
    <definedName name="reKPI11" localSheetId="37">#REF!</definedName>
    <definedName name="reKPI11" localSheetId="34">#REF!</definedName>
    <definedName name="reKPI11" localSheetId="35">#REF!</definedName>
    <definedName name="reKPI11" localSheetId="38">#REF!</definedName>
    <definedName name="reKPI11" localSheetId="39">#REF!</definedName>
    <definedName name="reKPI11" localSheetId="40">#REF!</definedName>
    <definedName name="reKPI11" localSheetId="41">#REF!</definedName>
    <definedName name="reKPI11" localSheetId="42">#REF!</definedName>
    <definedName name="reKPI11" localSheetId="43">#REF!</definedName>
    <definedName name="reKPI11" localSheetId="44">#REF!</definedName>
    <definedName name="reKPI11" localSheetId="45">#REF!</definedName>
    <definedName name="reKPI11" localSheetId="46">#REF!</definedName>
    <definedName name="reKPI11" localSheetId="47">#REF!</definedName>
    <definedName name="reKPI11" localSheetId="48">#REF!</definedName>
    <definedName name="reKPI11" localSheetId="49">#REF!</definedName>
    <definedName name="reKPI11" localSheetId="3">#REF!</definedName>
    <definedName name="reKPI11" localSheetId="61">#REF!</definedName>
    <definedName name="reKPI11">#REF!</definedName>
    <definedName name="reKPI12" localSheetId="7">#REF!</definedName>
    <definedName name="reKPI12" localSheetId="50">#REF!</definedName>
    <definedName name="reKPI12" localSheetId="8">#REF!</definedName>
    <definedName name="reKPI12" localSheetId="10">#REF!</definedName>
    <definedName name="reKPI12" localSheetId="14">#REF!</definedName>
    <definedName name="reKPI12" localSheetId="15">#REF!</definedName>
    <definedName name="reKPI12" localSheetId="18">#REF!</definedName>
    <definedName name="reKPI12" localSheetId="19">#REF!</definedName>
    <definedName name="reKPI12" localSheetId="24">#REF!</definedName>
    <definedName name="reKPI12" localSheetId="25">#REF!</definedName>
    <definedName name="reKPI12" localSheetId="51">#REF!</definedName>
    <definedName name="reKPI12" localSheetId="52">#REF!</definedName>
    <definedName name="reKPI12" localSheetId="26">#REF!</definedName>
    <definedName name="reKPI12" localSheetId="27">#REF!</definedName>
    <definedName name="reKPI12" localSheetId="30">#REF!</definedName>
    <definedName name="reKPI12" localSheetId="31">#REF!</definedName>
    <definedName name="reKPI12" localSheetId="32">#REF!</definedName>
    <definedName name="reKPI12" localSheetId="33">#REF!</definedName>
    <definedName name="reKPI12" localSheetId="36">#REF!</definedName>
    <definedName name="reKPI12" localSheetId="37">#REF!</definedName>
    <definedName name="reKPI12" localSheetId="34">#REF!</definedName>
    <definedName name="reKPI12" localSheetId="35">#REF!</definedName>
    <definedName name="reKPI12" localSheetId="38">#REF!</definedName>
    <definedName name="reKPI12" localSheetId="39">#REF!</definedName>
    <definedName name="reKPI12" localSheetId="40">#REF!</definedName>
    <definedName name="reKPI12" localSheetId="41">#REF!</definedName>
    <definedName name="reKPI12" localSheetId="42">#REF!</definedName>
    <definedName name="reKPI12" localSheetId="43">#REF!</definedName>
    <definedName name="reKPI12" localSheetId="44">#REF!</definedName>
    <definedName name="reKPI12" localSheetId="45">#REF!</definedName>
    <definedName name="reKPI12" localSheetId="46">#REF!</definedName>
    <definedName name="reKPI12" localSheetId="47">#REF!</definedName>
    <definedName name="reKPI12" localSheetId="48">#REF!</definedName>
    <definedName name="reKPI12" localSheetId="49">#REF!</definedName>
    <definedName name="reKPI12" localSheetId="3">#REF!</definedName>
    <definedName name="reKPI12" localSheetId="61">#REF!</definedName>
    <definedName name="reKPI12">#REF!</definedName>
    <definedName name="reKPI13" localSheetId="7">#REF!</definedName>
    <definedName name="reKPI13" localSheetId="50">#REF!</definedName>
    <definedName name="reKPI13" localSheetId="8">#REF!</definedName>
    <definedName name="reKPI13" localSheetId="10">#REF!</definedName>
    <definedName name="reKPI13" localSheetId="14">#REF!</definedName>
    <definedName name="reKPI13" localSheetId="15">#REF!</definedName>
    <definedName name="reKPI13" localSheetId="18">#REF!</definedName>
    <definedName name="reKPI13" localSheetId="19">#REF!</definedName>
    <definedName name="reKPI13" localSheetId="24">#REF!</definedName>
    <definedName name="reKPI13" localSheetId="25">#REF!</definedName>
    <definedName name="reKPI13" localSheetId="51">#REF!</definedName>
    <definedName name="reKPI13" localSheetId="52">#REF!</definedName>
    <definedName name="reKPI13" localSheetId="26">#REF!</definedName>
    <definedName name="reKPI13" localSheetId="27">#REF!</definedName>
    <definedName name="reKPI13" localSheetId="30">#REF!</definedName>
    <definedName name="reKPI13" localSheetId="31">#REF!</definedName>
    <definedName name="reKPI13" localSheetId="32">#REF!</definedName>
    <definedName name="reKPI13" localSheetId="33">#REF!</definedName>
    <definedName name="reKPI13" localSheetId="36">#REF!</definedName>
    <definedName name="reKPI13" localSheetId="37">#REF!</definedName>
    <definedName name="reKPI13" localSheetId="34">#REF!</definedName>
    <definedName name="reKPI13" localSheetId="35">#REF!</definedName>
    <definedName name="reKPI13" localSheetId="38">#REF!</definedName>
    <definedName name="reKPI13" localSheetId="39">#REF!</definedName>
    <definedName name="reKPI13" localSheetId="40">#REF!</definedName>
    <definedName name="reKPI13" localSheetId="41">#REF!</definedName>
    <definedName name="reKPI13" localSheetId="42">#REF!</definedName>
    <definedName name="reKPI13" localSheetId="43">#REF!</definedName>
    <definedName name="reKPI13" localSheetId="44">#REF!</definedName>
    <definedName name="reKPI13" localSheetId="45">#REF!</definedName>
    <definedName name="reKPI13" localSheetId="46">#REF!</definedName>
    <definedName name="reKPI13" localSheetId="47">#REF!</definedName>
    <definedName name="reKPI13" localSheetId="48">#REF!</definedName>
    <definedName name="reKPI13" localSheetId="49">#REF!</definedName>
    <definedName name="reKPI13" localSheetId="3">#REF!</definedName>
    <definedName name="reKPI13" localSheetId="61">#REF!</definedName>
    <definedName name="reKPI13">#REF!</definedName>
    <definedName name="reKPI14">'2-14'!$F$13</definedName>
    <definedName name="reKPI15" localSheetId="7">#REF!</definedName>
    <definedName name="reKPI15" localSheetId="50">#REF!</definedName>
    <definedName name="reKPI15" localSheetId="8">#REF!</definedName>
    <definedName name="reKPI15" localSheetId="10">#REF!</definedName>
    <definedName name="reKPI15" localSheetId="14">#REF!</definedName>
    <definedName name="reKPI15" localSheetId="15">#REF!</definedName>
    <definedName name="reKPI15" localSheetId="18">#REF!</definedName>
    <definedName name="reKPI15" localSheetId="19">#REF!</definedName>
    <definedName name="reKPI15" localSheetId="24">#REF!</definedName>
    <definedName name="reKPI15" localSheetId="25">#REF!</definedName>
    <definedName name="reKPI15" localSheetId="51">#REF!</definedName>
    <definedName name="reKPI15" localSheetId="52">#REF!</definedName>
    <definedName name="reKPI15" localSheetId="26">#REF!</definedName>
    <definedName name="reKPI15" localSheetId="27">#REF!</definedName>
    <definedName name="reKPI15" localSheetId="30">#REF!</definedName>
    <definedName name="reKPI15" localSheetId="31">#REF!</definedName>
    <definedName name="reKPI15" localSheetId="32">#REF!</definedName>
    <definedName name="reKPI15" localSheetId="33">#REF!</definedName>
    <definedName name="reKPI15" localSheetId="36">#REF!</definedName>
    <definedName name="reKPI15" localSheetId="37">#REF!</definedName>
    <definedName name="reKPI15" localSheetId="34">#REF!</definedName>
    <definedName name="reKPI15" localSheetId="35">#REF!</definedName>
    <definedName name="reKPI15" localSheetId="38">#REF!</definedName>
    <definedName name="reKPI15" localSheetId="39">#REF!</definedName>
    <definedName name="reKPI15" localSheetId="40">#REF!</definedName>
    <definedName name="reKPI15" localSheetId="41">#REF!</definedName>
    <definedName name="reKPI15" localSheetId="42">#REF!</definedName>
    <definedName name="reKPI15" localSheetId="43">#REF!</definedName>
    <definedName name="reKPI15" localSheetId="44">#REF!</definedName>
    <definedName name="reKPI15" localSheetId="45">#REF!</definedName>
    <definedName name="reKPI15" localSheetId="46">#REF!</definedName>
    <definedName name="reKPI15" localSheetId="47">#REF!</definedName>
    <definedName name="reKPI15" localSheetId="48">#REF!</definedName>
    <definedName name="reKPI15" localSheetId="49">#REF!</definedName>
    <definedName name="reKPI15" localSheetId="3">#REF!</definedName>
    <definedName name="reKPI15" localSheetId="61">#REF!</definedName>
    <definedName name="reKPI15">#REF!</definedName>
    <definedName name="reKPI16.1" localSheetId="7">#REF!</definedName>
    <definedName name="reKPI16.1" localSheetId="50">#REF!</definedName>
    <definedName name="reKPI16.1" localSheetId="8">#REF!</definedName>
    <definedName name="reKPI16.1" localSheetId="10">#REF!</definedName>
    <definedName name="reKPI16.1" localSheetId="14">#REF!</definedName>
    <definedName name="reKPI16.1" localSheetId="15">#REF!</definedName>
    <definedName name="reKPI16.1" localSheetId="18">#REF!</definedName>
    <definedName name="reKPI16.1" localSheetId="19">#REF!</definedName>
    <definedName name="reKPI16.1" localSheetId="24">#REF!</definedName>
    <definedName name="reKPI16.1" localSheetId="25">#REF!</definedName>
    <definedName name="reKPI16.1" localSheetId="51">#REF!</definedName>
    <definedName name="reKPI16.1" localSheetId="52">#REF!</definedName>
    <definedName name="reKPI16.1" localSheetId="26">#REF!</definedName>
    <definedName name="reKPI16.1" localSheetId="27">#REF!</definedName>
    <definedName name="reKPI16.1" localSheetId="30">#REF!</definedName>
    <definedName name="reKPI16.1" localSheetId="31">#REF!</definedName>
    <definedName name="reKPI16.1" localSheetId="32">#REF!</definedName>
    <definedName name="reKPI16.1" localSheetId="33">#REF!</definedName>
    <definedName name="reKPI16.1" localSheetId="36">#REF!</definedName>
    <definedName name="reKPI16.1" localSheetId="37">#REF!</definedName>
    <definedName name="reKPI16.1" localSheetId="34">#REF!</definedName>
    <definedName name="reKPI16.1" localSheetId="35">#REF!</definedName>
    <definedName name="reKPI16.1" localSheetId="38">#REF!</definedName>
    <definedName name="reKPI16.1" localSheetId="39">#REF!</definedName>
    <definedName name="reKPI16.1" localSheetId="40">#REF!</definedName>
    <definedName name="reKPI16.1" localSheetId="41">#REF!</definedName>
    <definedName name="reKPI16.1" localSheetId="42">#REF!</definedName>
    <definedName name="reKPI16.1" localSheetId="43">#REF!</definedName>
    <definedName name="reKPI16.1" localSheetId="44">#REF!</definedName>
    <definedName name="reKPI16.1" localSheetId="45">#REF!</definedName>
    <definedName name="reKPI16.1" localSheetId="46">#REF!</definedName>
    <definedName name="reKPI16.1" localSheetId="47">#REF!</definedName>
    <definedName name="reKPI16.1" localSheetId="48">#REF!</definedName>
    <definedName name="reKPI16.1" localSheetId="49">#REF!</definedName>
    <definedName name="reKPI16.1" localSheetId="3">#REF!</definedName>
    <definedName name="reKPI16.1" localSheetId="61">#REF!</definedName>
    <definedName name="reKPI16.1">#REF!</definedName>
    <definedName name="reKPI16.2">'1-16.2'!$F$14</definedName>
    <definedName name="reKPI17" localSheetId="7">#REF!</definedName>
    <definedName name="reKPI17" localSheetId="50">#REF!</definedName>
    <definedName name="reKPI17" localSheetId="8">#REF!</definedName>
    <definedName name="reKPI17" localSheetId="10">#REF!</definedName>
    <definedName name="reKPI17" localSheetId="14">#REF!</definedName>
    <definedName name="reKPI17" localSheetId="15">#REF!</definedName>
    <definedName name="reKPI17" localSheetId="18">#REF!</definedName>
    <definedName name="reKPI17" localSheetId="19">#REF!</definedName>
    <definedName name="reKPI17" localSheetId="24">#REF!</definedName>
    <definedName name="reKPI17" localSheetId="25">#REF!</definedName>
    <definedName name="reKPI17" localSheetId="51">#REF!</definedName>
    <definedName name="reKPI17" localSheetId="52">#REF!</definedName>
    <definedName name="reKPI17" localSheetId="26">#REF!</definedName>
    <definedName name="reKPI17" localSheetId="27">#REF!</definedName>
    <definedName name="reKPI17" localSheetId="30">#REF!</definedName>
    <definedName name="reKPI17" localSheetId="31">#REF!</definedName>
    <definedName name="reKPI17" localSheetId="32">#REF!</definedName>
    <definedName name="reKPI17" localSheetId="33">#REF!</definedName>
    <definedName name="reKPI17" localSheetId="36">#REF!</definedName>
    <definedName name="reKPI17" localSheetId="37">#REF!</definedName>
    <definedName name="reKPI17" localSheetId="34">#REF!</definedName>
    <definedName name="reKPI17" localSheetId="35">#REF!</definedName>
    <definedName name="reKPI17" localSheetId="38">#REF!</definedName>
    <definedName name="reKPI17" localSheetId="39">#REF!</definedName>
    <definedName name="reKPI17" localSheetId="40">#REF!</definedName>
    <definedName name="reKPI17" localSheetId="41">#REF!</definedName>
    <definedName name="reKPI17" localSheetId="42">#REF!</definedName>
    <definedName name="reKPI17" localSheetId="43">#REF!</definedName>
    <definedName name="reKPI17" localSheetId="44">#REF!</definedName>
    <definedName name="reKPI17" localSheetId="45">#REF!</definedName>
    <definedName name="reKPI17" localSheetId="46">#REF!</definedName>
    <definedName name="reKPI17" localSheetId="47">#REF!</definedName>
    <definedName name="reKPI17" localSheetId="48">#REF!</definedName>
    <definedName name="reKPI17" localSheetId="49">#REF!</definedName>
    <definedName name="reKPI17" localSheetId="3">#REF!</definedName>
    <definedName name="reKPI17" localSheetId="61">#REF!</definedName>
    <definedName name="reKPI17">#REF!</definedName>
    <definedName name="reKPI18.1" localSheetId="7">#REF!</definedName>
    <definedName name="reKPI18.1" localSheetId="50">#REF!</definedName>
    <definedName name="reKPI18.1" localSheetId="8">#REF!</definedName>
    <definedName name="reKPI18.1" localSheetId="10">#REF!</definedName>
    <definedName name="reKPI18.1" localSheetId="14">#REF!</definedName>
    <definedName name="reKPI18.1" localSheetId="15">#REF!</definedName>
    <definedName name="reKPI18.1" localSheetId="18">#REF!</definedName>
    <definedName name="reKPI18.1" localSheetId="19">#REF!</definedName>
    <definedName name="reKPI18.1" localSheetId="24">#REF!</definedName>
    <definedName name="reKPI18.1" localSheetId="25">#REF!</definedName>
    <definedName name="reKPI18.1" localSheetId="51">#REF!</definedName>
    <definedName name="reKPI18.1" localSheetId="52">#REF!</definedName>
    <definedName name="reKPI18.1" localSheetId="26">#REF!</definedName>
    <definedName name="reKPI18.1" localSheetId="27">#REF!</definedName>
    <definedName name="reKPI18.1" localSheetId="30">#REF!</definedName>
    <definedName name="reKPI18.1" localSheetId="31">#REF!</definedName>
    <definedName name="reKPI18.1" localSheetId="32">#REF!</definedName>
    <definedName name="reKPI18.1" localSheetId="33">#REF!</definedName>
    <definedName name="reKPI18.1" localSheetId="36">#REF!</definedName>
    <definedName name="reKPI18.1" localSheetId="37">#REF!</definedName>
    <definedName name="reKPI18.1" localSheetId="34">#REF!</definedName>
    <definedName name="reKPI18.1" localSheetId="35">#REF!</definedName>
    <definedName name="reKPI18.1" localSheetId="38">#REF!</definedName>
    <definedName name="reKPI18.1" localSheetId="39">#REF!</definedName>
    <definedName name="reKPI18.1" localSheetId="40">#REF!</definedName>
    <definedName name="reKPI18.1" localSheetId="41">#REF!</definedName>
    <definedName name="reKPI18.1" localSheetId="42">#REF!</definedName>
    <definedName name="reKPI18.1" localSheetId="43">#REF!</definedName>
    <definedName name="reKPI18.1" localSheetId="44">#REF!</definedName>
    <definedName name="reKPI18.1" localSheetId="45">#REF!</definedName>
    <definedName name="reKPI18.1" localSheetId="46">#REF!</definedName>
    <definedName name="reKPI18.1" localSheetId="47">#REF!</definedName>
    <definedName name="reKPI18.1" localSheetId="48">#REF!</definedName>
    <definedName name="reKPI18.1" localSheetId="49">#REF!</definedName>
    <definedName name="reKPI18.1" localSheetId="3">#REF!</definedName>
    <definedName name="reKPI18.1" localSheetId="61">#REF!</definedName>
    <definedName name="reKPI18.1">#REF!</definedName>
    <definedName name="reKPI18.2" localSheetId="7">#REF!</definedName>
    <definedName name="reKPI18.2" localSheetId="50">#REF!</definedName>
    <definedName name="reKPI18.2" localSheetId="8">#REF!</definedName>
    <definedName name="reKPI18.2" localSheetId="10">#REF!</definedName>
    <definedName name="reKPI18.2" localSheetId="14">#REF!</definedName>
    <definedName name="reKPI18.2" localSheetId="15">#REF!</definedName>
    <definedName name="reKPI18.2" localSheetId="18">#REF!</definedName>
    <definedName name="reKPI18.2" localSheetId="19">#REF!</definedName>
    <definedName name="reKPI18.2" localSheetId="24">#REF!</definedName>
    <definedName name="reKPI18.2" localSheetId="25">#REF!</definedName>
    <definedName name="reKPI18.2" localSheetId="51">#REF!</definedName>
    <definedName name="reKPI18.2" localSheetId="52">#REF!</definedName>
    <definedName name="reKPI18.2" localSheetId="26">#REF!</definedName>
    <definedName name="reKPI18.2" localSheetId="27">#REF!</definedName>
    <definedName name="reKPI18.2" localSheetId="30">#REF!</definedName>
    <definedName name="reKPI18.2" localSheetId="31">#REF!</definedName>
    <definedName name="reKPI18.2" localSheetId="32">#REF!</definedName>
    <definedName name="reKPI18.2" localSheetId="33">#REF!</definedName>
    <definedName name="reKPI18.2" localSheetId="36">#REF!</definedName>
    <definedName name="reKPI18.2" localSheetId="37">#REF!</definedName>
    <definedName name="reKPI18.2" localSheetId="34">#REF!</definedName>
    <definedName name="reKPI18.2" localSheetId="35">#REF!</definedName>
    <definedName name="reKPI18.2" localSheetId="38">#REF!</definedName>
    <definedName name="reKPI18.2" localSheetId="39">#REF!</definedName>
    <definedName name="reKPI18.2" localSheetId="40">#REF!</definedName>
    <definedName name="reKPI18.2" localSheetId="41">#REF!</definedName>
    <definedName name="reKPI18.2" localSheetId="42">#REF!</definedName>
    <definedName name="reKPI18.2" localSheetId="43">#REF!</definedName>
    <definedName name="reKPI18.2" localSheetId="44">#REF!</definedName>
    <definedName name="reKPI18.2" localSheetId="45">#REF!</definedName>
    <definedName name="reKPI18.2" localSheetId="46">#REF!</definedName>
    <definedName name="reKPI18.2" localSheetId="47">#REF!</definedName>
    <definedName name="reKPI18.2" localSheetId="48">#REF!</definedName>
    <definedName name="reKPI18.2" localSheetId="49">#REF!</definedName>
    <definedName name="reKPI18.2" localSheetId="3">#REF!</definedName>
    <definedName name="reKPI18.2" localSheetId="61">#REF!</definedName>
    <definedName name="reKPI18.2">#REF!</definedName>
    <definedName name="reKPI2" localSheetId="19">'2-1'!$F$14</definedName>
    <definedName name="reKPI2">'2-2'!$F$15</definedName>
    <definedName name="reKPI3" localSheetId="7">#REF!</definedName>
    <definedName name="reKPI3" localSheetId="50">#REF!</definedName>
    <definedName name="reKPI3" localSheetId="8">#REF!</definedName>
    <definedName name="reKPI3" localSheetId="10">#REF!</definedName>
    <definedName name="reKPI3" localSheetId="14">#REF!</definedName>
    <definedName name="reKPI3" localSheetId="15">#REF!</definedName>
    <definedName name="reKPI3" localSheetId="18">#REF!</definedName>
    <definedName name="reKPI3" localSheetId="19">#REF!</definedName>
    <definedName name="reKPI3" localSheetId="24">#REF!</definedName>
    <definedName name="reKPI3" localSheetId="25">#REF!</definedName>
    <definedName name="reKPI3" localSheetId="51">#REF!</definedName>
    <definedName name="reKPI3" localSheetId="52">#REF!</definedName>
    <definedName name="reKPI3" localSheetId="26">#REF!</definedName>
    <definedName name="reKPI3" localSheetId="27">#REF!</definedName>
    <definedName name="reKPI3" localSheetId="30">#REF!</definedName>
    <definedName name="reKPI3" localSheetId="31">#REF!</definedName>
    <definedName name="reKPI3" localSheetId="32">#REF!</definedName>
    <definedName name="reKPI3" localSheetId="33">#REF!</definedName>
    <definedName name="reKPI3" localSheetId="36">#REF!</definedName>
    <definedName name="reKPI3" localSheetId="37">#REF!</definedName>
    <definedName name="reKPI3" localSheetId="34">#REF!</definedName>
    <definedName name="reKPI3" localSheetId="35">#REF!</definedName>
    <definedName name="reKPI3" localSheetId="38">#REF!</definedName>
    <definedName name="reKPI3" localSheetId="39">#REF!</definedName>
    <definedName name="reKPI3" localSheetId="40">#REF!</definedName>
    <definedName name="reKPI3" localSheetId="41">#REF!</definedName>
    <definedName name="reKPI3" localSheetId="42">#REF!</definedName>
    <definedName name="reKPI3" localSheetId="43">#REF!</definedName>
    <definedName name="reKPI3" localSheetId="44">#REF!</definedName>
    <definedName name="reKPI3" localSheetId="45">#REF!</definedName>
    <definedName name="reKPI3" localSheetId="46">#REF!</definedName>
    <definedName name="reKPI3" localSheetId="47">#REF!</definedName>
    <definedName name="reKPI3" localSheetId="48">#REF!</definedName>
    <definedName name="reKPI3" localSheetId="49">#REF!</definedName>
    <definedName name="reKPI3" localSheetId="3">#REF!</definedName>
    <definedName name="reKPI3" localSheetId="61">#REF!</definedName>
    <definedName name="reKPI3">#REF!</definedName>
    <definedName name="rekpi3n" localSheetId="51">#REF!</definedName>
    <definedName name="rekpi3n" localSheetId="52">#REF!</definedName>
    <definedName name="rekpi3n" localSheetId="3">#REF!</definedName>
    <definedName name="rekpi3n" localSheetId="61">#REF!</definedName>
    <definedName name="rekpi3n">#REF!</definedName>
    <definedName name="reKPI4" localSheetId="7">#REF!</definedName>
    <definedName name="reKPI4" localSheetId="50">#REF!</definedName>
    <definedName name="reKPI4" localSheetId="8">#REF!</definedName>
    <definedName name="reKPI4" localSheetId="10">#REF!</definedName>
    <definedName name="reKPI4" localSheetId="14">#REF!</definedName>
    <definedName name="reKPI4" localSheetId="15">#REF!</definedName>
    <definedName name="reKPI4" localSheetId="18">#REF!</definedName>
    <definedName name="reKPI4" localSheetId="19">#REF!</definedName>
    <definedName name="reKPI4" localSheetId="24">#REF!</definedName>
    <definedName name="reKPI4" localSheetId="25">#REF!</definedName>
    <definedName name="reKPI4" localSheetId="51">#REF!</definedName>
    <definedName name="reKPI4" localSheetId="52">#REF!</definedName>
    <definedName name="reKPI4" localSheetId="26">#REF!</definedName>
    <definedName name="reKPI4" localSheetId="27">#REF!</definedName>
    <definedName name="reKPI4" localSheetId="30">#REF!</definedName>
    <definedName name="reKPI4" localSheetId="31">#REF!</definedName>
    <definedName name="reKPI4" localSheetId="32">#REF!</definedName>
    <definedName name="reKPI4" localSheetId="33">#REF!</definedName>
    <definedName name="reKPI4" localSheetId="36">#REF!</definedName>
    <definedName name="reKPI4" localSheetId="37">#REF!</definedName>
    <definedName name="reKPI4" localSheetId="34">#REF!</definedName>
    <definedName name="reKPI4" localSheetId="35">#REF!</definedName>
    <definedName name="reKPI4" localSheetId="38">#REF!</definedName>
    <definedName name="reKPI4" localSheetId="39">#REF!</definedName>
    <definedName name="reKPI4" localSheetId="40">#REF!</definedName>
    <definedName name="reKPI4" localSheetId="41">#REF!</definedName>
    <definedName name="reKPI4" localSheetId="42">#REF!</definedName>
    <definedName name="reKPI4" localSheetId="43">#REF!</definedName>
    <definedName name="reKPI4" localSheetId="44">#REF!</definedName>
    <definedName name="reKPI4" localSheetId="45">#REF!</definedName>
    <definedName name="reKPI4" localSheetId="46">#REF!</definedName>
    <definedName name="reKPI4" localSheetId="47">#REF!</definedName>
    <definedName name="reKPI4" localSheetId="48">#REF!</definedName>
    <definedName name="reKPI4" localSheetId="49">#REF!</definedName>
    <definedName name="reKPI4" localSheetId="3">#REF!</definedName>
    <definedName name="reKPI4" localSheetId="61">#REF!</definedName>
    <definedName name="reKPI4">#REF!</definedName>
    <definedName name="rekpi4.3">'4.3'!$F$20</definedName>
    <definedName name="rekpi4n">'2-4'!$F$13</definedName>
    <definedName name="reKPI5" localSheetId="7">#REF!</definedName>
    <definedName name="reKPI5" localSheetId="50">#REF!</definedName>
    <definedName name="reKPI5" localSheetId="8">#REF!</definedName>
    <definedName name="reKPI5" localSheetId="10">#REF!</definedName>
    <definedName name="reKPI5" localSheetId="14">#REF!</definedName>
    <definedName name="reKPI5" localSheetId="15">#REF!</definedName>
    <definedName name="reKPI5" localSheetId="18">#REF!</definedName>
    <definedName name="reKPI5" localSheetId="19">#REF!</definedName>
    <definedName name="reKPI5" localSheetId="24">#REF!</definedName>
    <definedName name="reKPI5" localSheetId="25">#REF!</definedName>
    <definedName name="reKPI5" localSheetId="51">#REF!</definedName>
    <definedName name="reKPI5" localSheetId="52">#REF!</definedName>
    <definedName name="reKPI5" localSheetId="26">#REF!</definedName>
    <definedName name="reKPI5" localSheetId="27">#REF!</definedName>
    <definedName name="reKPI5" localSheetId="30">#REF!</definedName>
    <definedName name="reKPI5" localSheetId="31">#REF!</definedName>
    <definedName name="reKPI5" localSheetId="32">#REF!</definedName>
    <definedName name="reKPI5" localSheetId="33">#REF!</definedName>
    <definedName name="reKPI5" localSheetId="36">#REF!</definedName>
    <definedName name="reKPI5" localSheetId="37">#REF!</definedName>
    <definedName name="reKPI5" localSheetId="34">#REF!</definedName>
    <definedName name="reKPI5" localSheetId="35">#REF!</definedName>
    <definedName name="reKPI5" localSheetId="38">#REF!</definedName>
    <definedName name="reKPI5" localSheetId="39">#REF!</definedName>
    <definedName name="reKPI5" localSheetId="40">#REF!</definedName>
    <definedName name="reKPI5" localSheetId="41">#REF!</definedName>
    <definedName name="reKPI5" localSheetId="42">#REF!</definedName>
    <definedName name="reKPI5" localSheetId="43">#REF!</definedName>
    <definedName name="reKPI5" localSheetId="44">#REF!</definedName>
    <definedName name="reKPI5" localSheetId="45">#REF!</definedName>
    <definedName name="reKPI5" localSheetId="46">#REF!</definedName>
    <definedName name="reKPI5" localSheetId="47">#REF!</definedName>
    <definedName name="reKPI5" localSheetId="48">#REF!</definedName>
    <definedName name="reKPI5" localSheetId="49">#REF!</definedName>
    <definedName name="reKPI5" localSheetId="3">#REF!</definedName>
    <definedName name="reKPI5" localSheetId="61">#REF!</definedName>
    <definedName name="reKPI5">#REF!</definedName>
    <definedName name="rekpi5n" localSheetId="30">'4-6'!$F$14</definedName>
    <definedName name="rekpi5n" localSheetId="31">'4-7'!$F$14</definedName>
    <definedName name="rekpi5n" localSheetId="34">'5-8'!$F$14</definedName>
    <definedName name="rekpi5n" localSheetId="45">'7-12'!$F$14</definedName>
    <definedName name="rekpi5n" localSheetId="46">'7-13'!$F$14</definedName>
    <definedName name="rekpi5n" localSheetId="49">'9-15'!$F$14</definedName>
    <definedName name="rekpi5n">'4-5'!$F$20</definedName>
    <definedName name="reKPI6" localSheetId="7">'4.3'!#REF!</definedName>
    <definedName name="reKPI6" localSheetId="50">'4.3'!#REF!</definedName>
    <definedName name="reKPI6" localSheetId="8">'4.3'!#REF!</definedName>
    <definedName name="reKPI6" localSheetId="10">'4.3'!#REF!</definedName>
    <definedName name="reKPI6" localSheetId="14">'4.3'!#REF!</definedName>
    <definedName name="reKPI6" localSheetId="15">'4.3'!#REF!</definedName>
    <definedName name="reKPI6" localSheetId="18">'4.3'!#REF!</definedName>
    <definedName name="reKPI6" localSheetId="19">'4.3'!#REF!</definedName>
    <definedName name="reKPI6" localSheetId="24">'4.3'!#REF!</definedName>
    <definedName name="reKPI6" localSheetId="25">'4.3'!#REF!</definedName>
    <definedName name="reKPI6" localSheetId="51">'4.3'!#REF!</definedName>
    <definedName name="reKPI6" localSheetId="52">'4.3'!#REF!</definedName>
    <definedName name="reKPI6" localSheetId="26">'4.3'!#REF!</definedName>
    <definedName name="reKPI6" localSheetId="27">'4.3'!#REF!</definedName>
    <definedName name="reKPI6" localSheetId="30">'4.3'!#REF!</definedName>
    <definedName name="reKPI6" localSheetId="31">'4.3'!#REF!</definedName>
    <definedName name="reKPI6" localSheetId="32">'4.3'!#REF!</definedName>
    <definedName name="reKPI6" localSheetId="33">'4.3'!#REF!</definedName>
    <definedName name="reKPI6" localSheetId="36">'4.3'!#REF!</definedName>
    <definedName name="reKPI6" localSheetId="37">'4.3'!#REF!</definedName>
    <definedName name="reKPI6" localSheetId="34">'4.3'!#REF!</definedName>
    <definedName name="reKPI6" localSheetId="35">'4.3'!#REF!</definedName>
    <definedName name="reKPI6" localSheetId="38">'4.3'!#REF!</definedName>
    <definedName name="reKPI6" localSheetId="39">'4.3'!#REF!</definedName>
    <definedName name="reKPI6" localSheetId="40">'4.3'!#REF!</definedName>
    <definedName name="reKPI6" localSheetId="41">'4.3'!#REF!</definedName>
    <definedName name="reKPI6" localSheetId="42">'4.3'!#REF!</definedName>
    <definedName name="reKPI6" localSheetId="43">'4.3'!#REF!</definedName>
    <definedName name="reKPI6" localSheetId="44">'4.3'!#REF!</definedName>
    <definedName name="reKPI6" localSheetId="45">'4.3'!#REF!</definedName>
    <definedName name="reKPI6" localSheetId="46">'4.3'!#REF!</definedName>
    <definedName name="reKPI6" localSheetId="47">'4.3'!#REF!</definedName>
    <definedName name="reKPI6" localSheetId="48">'4.3'!#REF!</definedName>
    <definedName name="reKPI6" localSheetId="49">'4.3'!#REF!</definedName>
    <definedName name="reKPI6" localSheetId="3">'4.3'!#REF!</definedName>
    <definedName name="reKPI6" localSheetId="61">'4.3'!#REF!</definedName>
    <definedName name="reKPI6">'4.3'!#REF!</definedName>
    <definedName name="reKPI7" localSheetId="7">#REF!</definedName>
    <definedName name="reKPI7" localSheetId="50">#REF!</definedName>
    <definedName name="reKPI7" localSheetId="8">#REF!</definedName>
    <definedName name="reKPI7" localSheetId="10">#REF!</definedName>
    <definedName name="reKPI7" localSheetId="14">#REF!</definedName>
    <definedName name="reKPI7" localSheetId="15">#REF!</definedName>
    <definedName name="reKPI7" localSheetId="18">#REF!</definedName>
    <definedName name="reKPI7" localSheetId="19">#REF!</definedName>
    <definedName name="reKPI7" localSheetId="24">#REF!</definedName>
    <definedName name="reKPI7" localSheetId="25">#REF!</definedName>
    <definedName name="reKPI7" localSheetId="51">#REF!</definedName>
    <definedName name="reKPI7" localSheetId="52">#REF!</definedName>
    <definedName name="reKPI7" localSheetId="26">#REF!</definedName>
    <definedName name="reKPI7" localSheetId="27">#REF!</definedName>
    <definedName name="reKPI7" localSheetId="30">#REF!</definedName>
    <definedName name="reKPI7" localSheetId="31">#REF!</definedName>
    <definedName name="reKPI7" localSheetId="32">#REF!</definedName>
    <definedName name="reKPI7" localSheetId="33">#REF!</definedName>
    <definedName name="reKPI7" localSheetId="36">#REF!</definedName>
    <definedName name="reKPI7" localSheetId="37">#REF!</definedName>
    <definedName name="reKPI7" localSheetId="34">#REF!</definedName>
    <definedName name="reKPI7" localSheetId="35">#REF!</definedName>
    <definedName name="reKPI7" localSheetId="38">#REF!</definedName>
    <definedName name="reKPI7" localSheetId="39">#REF!</definedName>
    <definedName name="reKPI7" localSheetId="40">#REF!</definedName>
    <definedName name="reKPI7" localSheetId="41">#REF!</definedName>
    <definedName name="reKPI7" localSheetId="42">#REF!</definedName>
    <definedName name="reKPI7" localSheetId="43">#REF!</definedName>
    <definedName name="reKPI7" localSheetId="44">#REF!</definedName>
    <definedName name="reKPI7" localSheetId="45">#REF!</definedName>
    <definedName name="reKPI7" localSheetId="46">#REF!</definedName>
    <definedName name="reKPI7" localSheetId="47">#REF!</definedName>
    <definedName name="reKPI7" localSheetId="48">#REF!</definedName>
    <definedName name="reKPI7" localSheetId="49">#REF!</definedName>
    <definedName name="reKPI7" localSheetId="3">#REF!</definedName>
    <definedName name="reKPI7" localSheetId="61">#REF!</definedName>
    <definedName name="reKPI7">#REF!</definedName>
    <definedName name="reKPI8" localSheetId="7">#REF!</definedName>
    <definedName name="reKPI8" localSheetId="50">#REF!</definedName>
    <definedName name="reKPI8" localSheetId="8">#REF!</definedName>
    <definedName name="reKPI8" localSheetId="10">#REF!</definedName>
    <definedName name="reKPI8" localSheetId="14">#REF!</definedName>
    <definedName name="reKPI8" localSheetId="15">#REF!</definedName>
    <definedName name="reKPI8" localSheetId="18">#REF!</definedName>
    <definedName name="reKPI8" localSheetId="19">#REF!</definedName>
    <definedName name="reKPI8" localSheetId="24">#REF!</definedName>
    <definedName name="reKPI8" localSheetId="25">#REF!</definedName>
    <definedName name="reKPI8" localSheetId="51">#REF!</definedName>
    <definedName name="reKPI8" localSheetId="52">#REF!</definedName>
    <definedName name="reKPI8" localSheetId="26">#REF!</definedName>
    <definedName name="reKPI8" localSheetId="27">#REF!</definedName>
    <definedName name="reKPI8" localSheetId="30">#REF!</definedName>
    <definedName name="reKPI8" localSheetId="31">#REF!</definedName>
    <definedName name="reKPI8" localSheetId="32">#REF!</definedName>
    <definedName name="reKPI8" localSheetId="33">#REF!</definedName>
    <definedName name="reKPI8" localSheetId="36">#REF!</definedName>
    <definedName name="reKPI8" localSheetId="37">#REF!</definedName>
    <definedName name="reKPI8" localSheetId="34">#REF!</definedName>
    <definedName name="reKPI8" localSheetId="35">#REF!</definedName>
    <definedName name="reKPI8" localSheetId="38">#REF!</definedName>
    <definedName name="reKPI8" localSheetId="39">#REF!</definedName>
    <definedName name="reKPI8" localSheetId="40">#REF!</definedName>
    <definedName name="reKPI8" localSheetId="41">#REF!</definedName>
    <definedName name="reKPI8" localSheetId="42">#REF!</definedName>
    <definedName name="reKPI8" localSheetId="43">#REF!</definedName>
    <definedName name="reKPI8" localSheetId="44">#REF!</definedName>
    <definedName name="reKPI8" localSheetId="45">#REF!</definedName>
    <definedName name="reKPI8" localSheetId="46">#REF!</definedName>
    <definedName name="reKPI8" localSheetId="47">#REF!</definedName>
    <definedName name="reKPI8" localSheetId="48">#REF!</definedName>
    <definedName name="reKPI8" localSheetId="49">#REF!</definedName>
    <definedName name="reKPI8" localSheetId="3">#REF!</definedName>
    <definedName name="reKPI8" localSheetId="61">#REF!</definedName>
    <definedName name="reKPI8">#REF!</definedName>
    <definedName name="reKPI9" localSheetId="7">#REF!</definedName>
    <definedName name="reKPI9" localSheetId="50">#REF!</definedName>
    <definedName name="reKPI9" localSheetId="8">#REF!</definedName>
    <definedName name="reKPI9" localSheetId="10">#REF!</definedName>
    <definedName name="reKPI9" localSheetId="14">#REF!</definedName>
    <definedName name="reKPI9" localSheetId="15">#REF!</definedName>
    <definedName name="reKPI9" localSheetId="18">#REF!</definedName>
    <definedName name="reKPI9" localSheetId="19">#REF!</definedName>
    <definedName name="reKPI9" localSheetId="24">#REF!</definedName>
    <definedName name="reKPI9" localSheetId="25">#REF!</definedName>
    <definedName name="reKPI9" localSheetId="51">#REF!</definedName>
    <definedName name="reKPI9" localSheetId="52">#REF!</definedName>
    <definedName name="reKPI9" localSheetId="26">#REF!</definedName>
    <definedName name="reKPI9" localSheetId="27">#REF!</definedName>
    <definedName name="reKPI9" localSheetId="30">#REF!</definedName>
    <definedName name="reKPI9" localSheetId="31">#REF!</definedName>
    <definedName name="reKPI9" localSheetId="32">#REF!</definedName>
    <definedName name="reKPI9" localSheetId="33">#REF!</definedName>
    <definedName name="reKPI9" localSheetId="36">#REF!</definedName>
    <definedName name="reKPI9" localSheetId="37">#REF!</definedName>
    <definedName name="reKPI9" localSheetId="34">#REF!</definedName>
    <definedName name="reKPI9" localSheetId="35">#REF!</definedName>
    <definedName name="reKPI9" localSheetId="38">#REF!</definedName>
    <definedName name="reKPI9" localSheetId="39">#REF!</definedName>
    <definedName name="reKPI9" localSheetId="40">#REF!</definedName>
    <definedName name="reKPI9" localSheetId="41">#REF!</definedName>
    <definedName name="reKPI9" localSheetId="42">#REF!</definedName>
    <definedName name="reKPI9" localSheetId="43">#REF!</definedName>
    <definedName name="reKPI9" localSheetId="44">#REF!</definedName>
    <definedName name="reKPI9" localSheetId="45">#REF!</definedName>
    <definedName name="reKPI9" localSheetId="46">#REF!</definedName>
    <definedName name="reKPI9" localSheetId="47">#REF!</definedName>
    <definedName name="reKPI9" localSheetId="48">#REF!</definedName>
    <definedName name="reKPI9" localSheetId="49">#REF!</definedName>
    <definedName name="reKPI9" localSheetId="3">#REF!</definedName>
    <definedName name="reKPI9" localSheetId="61">#REF!</definedName>
    <definedName name="reKPI9">#REF!</definedName>
    <definedName name="rkpi2.1" localSheetId="7">'1.1'!$C$11</definedName>
    <definedName name="rkpi2.1" localSheetId="50">'10-1'!$C$11</definedName>
    <definedName name="rkpi2.1" localSheetId="8">'1-16.1'!$C$11</definedName>
    <definedName name="rkpi2.1" localSheetId="10">'1-17'!$C$11</definedName>
    <definedName name="rkpi2.1" localSheetId="24">'3.1'!$C$11</definedName>
    <definedName name="rkpi2.1" localSheetId="25">'3.2'!$C$11</definedName>
    <definedName name="rkpi2.1" localSheetId="51">'3D11.1'!$C$11</definedName>
    <definedName name="rkpi2.1" localSheetId="52">'3D11.2'!$C$11</definedName>
    <definedName name="rkpi2.1" localSheetId="26">'4.1'!$C$11</definedName>
    <definedName name="rkpi2.1" localSheetId="38">'6.1'!$C$11</definedName>
    <definedName name="rkpi2.1" localSheetId="39">'6-10'!$C$11</definedName>
    <definedName name="rkpi2.1" localSheetId="40">'6-11'!$C$11</definedName>
    <definedName name="rkpi2.1" localSheetId="41">'7.1'!$C$11</definedName>
    <definedName name="rkpi2.1" localSheetId="42">'7.2'!$C$11</definedName>
    <definedName name="rkpi2.1" localSheetId="43">'7.3'!$C$11</definedName>
    <definedName name="rkpi2.1" localSheetId="44">'7.4'!$C$11</definedName>
    <definedName name="rkpi2.1" localSheetId="47">'8.1'!$C$11</definedName>
    <definedName name="rkpi2.1" localSheetId="48">'9.1'!$C$11</definedName>
    <definedName name="rkpi2.1">'2.1'!$C$11</definedName>
    <definedName name="rkpi2.2">'2.2'!$F$21</definedName>
    <definedName name="rkpi2.3">'2.3'!$F$21</definedName>
    <definedName name="rkpi2.6" localSheetId="14">'2.4'!$C$11</definedName>
    <definedName name="rkpi2.6" localSheetId="15">'2.5'!$C$11</definedName>
    <definedName name="rkpi2.6">'2.6'!$C$11</definedName>
    <definedName name="rkpi2.7" localSheetId="18">'2.8'!$C$11</definedName>
    <definedName name="rkpi2.7" localSheetId="27">'4.2'!$C$11</definedName>
    <definedName name="rkpi2.7" localSheetId="32">'5.1'!$C$11</definedName>
    <definedName name="rkpi2.7" localSheetId="33">'5.2'!$C$11</definedName>
    <definedName name="rkpi2.7" localSheetId="36">'5-18.1'!$C$11</definedName>
    <definedName name="rkpi2.7" localSheetId="37">'5-18.2'!$C$11</definedName>
    <definedName name="rkpi2.7" localSheetId="35">'5-9'!$C$11</definedName>
    <definedName name="rkpi2.7">'2.7'!$C$11</definedName>
    <definedName name="sKPI1" localSheetId="7">#REF!</definedName>
    <definedName name="sKPI1" localSheetId="50">#REF!</definedName>
    <definedName name="sKPI1" localSheetId="8">#REF!</definedName>
    <definedName name="sKPI1" localSheetId="10">#REF!</definedName>
    <definedName name="sKPI1" localSheetId="14">#REF!</definedName>
    <definedName name="sKPI1" localSheetId="15">#REF!</definedName>
    <definedName name="sKPI1" localSheetId="18">#REF!</definedName>
    <definedName name="sKPI1" localSheetId="19">#REF!</definedName>
    <definedName name="sKPI1" localSheetId="24">#REF!</definedName>
    <definedName name="sKPI1" localSheetId="25">#REF!</definedName>
    <definedName name="sKPI1" localSheetId="51">#REF!</definedName>
    <definedName name="sKPI1" localSheetId="52">#REF!</definedName>
    <definedName name="sKPI1" localSheetId="26">#REF!</definedName>
    <definedName name="sKPI1" localSheetId="27">#REF!</definedName>
    <definedName name="sKPI1" localSheetId="30">#REF!</definedName>
    <definedName name="sKPI1" localSheetId="31">#REF!</definedName>
    <definedName name="sKPI1" localSheetId="32">#REF!</definedName>
    <definedName name="sKPI1" localSheetId="33">#REF!</definedName>
    <definedName name="sKPI1" localSheetId="36">#REF!</definedName>
    <definedName name="sKPI1" localSheetId="37">#REF!</definedName>
    <definedName name="sKPI1" localSheetId="34">#REF!</definedName>
    <definedName name="sKPI1" localSheetId="35">#REF!</definedName>
    <definedName name="sKPI1" localSheetId="38">#REF!</definedName>
    <definedName name="sKPI1" localSheetId="39">#REF!</definedName>
    <definedName name="sKPI1" localSheetId="40">#REF!</definedName>
    <definedName name="sKPI1" localSheetId="41">#REF!</definedName>
    <definedName name="sKPI1" localSheetId="42">#REF!</definedName>
    <definedName name="sKPI1" localSheetId="43">#REF!</definedName>
    <definedName name="sKPI1" localSheetId="44">#REF!</definedName>
    <definedName name="sKPI1" localSheetId="45">#REF!</definedName>
    <definedName name="sKPI1" localSheetId="46">#REF!</definedName>
    <definedName name="sKPI1" localSheetId="47">#REF!</definedName>
    <definedName name="sKPI1" localSheetId="48">#REF!</definedName>
    <definedName name="sKPI1" localSheetId="49">#REF!</definedName>
    <definedName name="sKPI1" localSheetId="3">#REF!</definedName>
    <definedName name="sKPI1" localSheetId="61">#REF!</definedName>
    <definedName name="sKPI1">#REF!</definedName>
    <definedName name="sKPI10" localSheetId="7">#REF!</definedName>
    <definedName name="sKPI10" localSheetId="50">#REF!</definedName>
    <definedName name="sKPI10" localSheetId="8">#REF!</definedName>
    <definedName name="sKPI10" localSheetId="10">#REF!</definedName>
    <definedName name="sKPI10" localSheetId="14">#REF!</definedName>
    <definedName name="sKPI10" localSheetId="15">#REF!</definedName>
    <definedName name="sKPI10" localSheetId="18">#REF!</definedName>
    <definedName name="sKPI10" localSheetId="19">#REF!</definedName>
    <definedName name="sKPI10" localSheetId="24">#REF!</definedName>
    <definedName name="sKPI10" localSheetId="25">#REF!</definedName>
    <definedName name="sKPI10" localSheetId="51">#REF!</definedName>
    <definedName name="sKPI10" localSheetId="52">#REF!</definedName>
    <definedName name="sKPI10" localSheetId="26">#REF!</definedName>
    <definedName name="sKPI10" localSheetId="27">#REF!</definedName>
    <definedName name="sKPI10" localSheetId="30">#REF!</definedName>
    <definedName name="sKPI10" localSheetId="31">#REF!</definedName>
    <definedName name="sKPI10" localSheetId="32">#REF!</definedName>
    <definedName name="sKPI10" localSheetId="33">#REF!</definedName>
    <definedName name="sKPI10" localSheetId="36">#REF!</definedName>
    <definedName name="sKPI10" localSheetId="37">#REF!</definedName>
    <definedName name="sKPI10" localSheetId="34">#REF!</definedName>
    <definedName name="sKPI10" localSheetId="35">#REF!</definedName>
    <definedName name="sKPI10" localSheetId="38">#REF!</definedName>
    <definedName name="sKPI10" localSheetId="39">#REF!</definedName>
    <definedName name="sKPI10" localSheetId="40">#REF!</definedName>
    <definedName name="sKPI10" localSheetId="41">#REF!</definedName>
    <definedName name="sKPI10" localSheetId="42">#REF!</definedName>
    <definedName name="sKPI10" localSheetId="43">#REF!</definedName>
    <definedName name="sKPI10" localSheetId="44">#REF!</definedName>
    <definedName name="sKPI10" localSheetId="45">#REF!</definedName>
    <definedName name="sKPI10" localSheetId="46">#REF!</definedName>
    <definedName name="sKPI10" localSheetId="47">#REF!</definedName>
    <definedName name="sKPI10" localSheetId="48">#REF!</definedName>
    <definedName name="sKPI10" localSheetId="49">#REF!</definedName>
    <definedName name="sKPI10" localSheetId="3">#REF!</definedName>
    <definedName name="sKPI10" localSheetId="61">#REF!</definedName>
    <definedName name="sKPI10">#REF!</definedName>
    <definedName name="sKPI11" localSheetId="7">#REF!</definedName>
    <definedName name="sKPI11" localSheetId="50">#REF!</definedName>
    <definedName name="sKPI11" localSheetId="8">#REF!</definedName>
    <definedName name="sKPI11" localSheetId="10">#REF!</definedName>
    <definedName name="sKPI11" localSheetId="14">#REF!</definedName>
    <definedName name="sKPI11" localSheetId="15">#REF!</definedName>
    <definedName name="sKPI11" localSheetId="18">#REF!</definedName>
    <definedName name="sKPI11" localSheetId="19">#REF!</definedName>
    <definedName name="sKPI11" localSheetId="24">#REF!</definedName>
    <definedName name="sKPI11" localSheetId="25">#REF!</definedName>
    <definedName name="sKPI11" localSheetId="51">#REF!</definedName>
    <definedName name="sKPI11" localSheetId="52">#REF!</definedName>
    <definedName name="sKPI11" localSheetId="26">#REF!</definedName>
    <definedName name="sKPI11" localSheetId="27">#REF!</definedName>
    <definedName name="sKPI11" localSheetId="30">#REF!</definedName>
    <definedName name="sKPI11" localSheetId="31">#REF!</definedName>
    <definedName name="sKPI11" localSheetId="32">#REF!</definedName>
    <definedName name="sKPI11" localSheetId="33">#REF!</definedName>
    <definedName name="sKPI11" localSheetId="36">#REF!</definedName>
    <definedName name="sKPI11" localSheetId="37">#REF!</definedName>
    <definedName name="sKPI11" localSheetId="34">#REF!</definedName>
    <definedName name="sKPI11" localSheetId="35">#REF!</definedName>
    <definedName name="sKPI11" localSheetId="38">#REF!</definedName>
    <definedName name="sKPI11" localSheetId="39">#REF!</definedName>
    <definedName name="sKPI11" localSheetId="40">#REF!</definedName>
    <definedName name="sKPI11" localSheetId="41">#REF!</definedName>
    <definedName name="sKPI11" localSheetId="42">#REF!</definedName>
    <definedName name="sKPI11" localSheetId="43">#REF!</definedName>
    <definedName name="sKPI11" localSheetId="44">#REF!</definedName>
    <definedName name="sKPI11" localSheetId="45">#REF!</definedName>
    <definedName name="sKPI11" localSheetId="46">#REF!</definedName>
    <definedName name="sKPI11" localSheetId="47">#REF!</definedName>
    <definedName name="sKPI11" localSheetId="48">#REF!</definedName>
    <definedName name="sKPI11" localSheetId="49">#REF!</definedName>
    <definedName name="sKPI11" localSheetId="3">#REF!</definedName>
    <definedName name="sKPI11" localSheetId="61">#REF!</definedName>
    <definedName name="sKPI11">#REF!</definedName>
    <definedName name="sKPI12" localSheetId="7">#REF!</definedName>
    <definedName name="sKPI12" localSheetId="50">#REF!</definedName>
    <definedName name="sKPI12" localSheetId="8">#REF!</definedName>
    <definedName name="sKPI12" localSheetId="10">#REF!</definedName>
    <definedName name="sKPI12" localSheetId="14">#REF!</definedName>
    <definedName name="sKPI12" localSheetId="15">#REF!</definedName>
    <definedName name="sKPI12" localSheetId="18">#REF!</definedName>
    <definedName name="sKPI12" localSheetId="19">#REF!</definedName>
    <definedName name="sKPI12" localSheetId="24">#REF!</definedName>
    <definedName name="sKPI12" localSheetId="25">#REF!</definedName>
    <definedName name="sKPI12" localSheetId="51">#REF!</definedName>
    <definedName name="sKPI12" localSheetId="52">#REF!</definedName>
    <definedName name="sKPI12" localSheetId="26">#REF!</definedName>
    <definedName name="sKPI12" localSheetId="27">#REF!</definedName>
    <definedName name="sKPI12" localSheetId="30">#REF!</definedName>
    <definedName name="sKPI12" localSheetId="31">#REF!</definedName>
    <definedName name="sKPI12" localSheetId="32">#REF!</definedName>
    <definedName name="sKPI12" localSheetId="33">#REF!</definedName>
    <definedName name="sKPI12" localSheetId="36">#REF!</definedName>
    <definedName name="sKPI12" localSheetId="37">#REF!</definedName>
    <definedName name="sKPI12" localSheetId="34">#REF!</definedName>
    <definedName name="sKPI12" localSheetId="35">#REF!</definedName>
    <definedName name="sKPI12" localSheetId="38">#REF!</definedName>
    <definedName name="sKPI12" localSheetId="39">#REF!</definedName>
    <definedName name="sKPI12" localSheetId="40">#REF!</definedName>
    <definedName name="sKPI12" localSheetId="41">#REF!</definedName>
    <definedName name="sKPI12" localSheetId="42">#REF!</definedName>
    <definedName name="sKPI12" localSheetId="43">#REF!</definedName>
    <definedName name="sKPI12" localSheetId="44">#REF!</definedName>
    <definedName name="sKPI12" localSheetId="45">#REF!</definedName>
    <definedName name="sKPI12" localSheetId="46">#REF!</definedName>
    <definedName name="sKPI12" localSheetId="47">#REF!</definedName>
    <definedName name="sKPI12" localSheetId="48">#REF!</definedName>
    <definedName name="sKPI12" localSheetId="49">#REF!</definedName>
    <definedName name="sKPI12" localSheetId="3">#REF!</definedName>
    <definedName name="sKPI12" localSheetId="61">#REF!</definedName>
    <definedName name="sKPI12">#REF!</definedName>
    <definedName name="sKPI13" localSheetId="7">#REF!</definedName>
    <definedName name="sKPI13" localSheetId="50">#REF!</definedName>
    <definedName name="sKPI13" localSheetId="8">#REF!</definedName>
    <definedName name="sKPI13" localSheetId="10">#REF!</definedName>
    <definedName name="sKPI13" localSheetId="14">#REF!</definedName>
    <definedName name="sKPI13" localSheetId="15">#REF!</definedName>
    <definedName name="sKPI13" localSheetId="18">#REF!</definedName>
    <definedName name="sKPI13" localSheetId="19">#REF!</definedName>
    <definedName name="sKPI13" localSheetId="24">#REF!</definedName>
    <definedName name="sKPI13" localSheetId="25">#REF!</definedName>
    <definedName name="sKPI13" localSheetId="51">#REF!</definedName>
    <definedName name="sKPI13" localSheetId="52">#REF!</definedName>
    <definedName name="sKPI13" localSheetId="26">#REF!</definedName>
    <definedName name="sKPI13" localSheetId="27">#REF!</definedName>
    <definedName name="sKPI13" localSheetId="30">#REF!</definedName>
    <definedName name="sKPI13" localSheetId="31">#REF!</definedName>
    <definedName name="sKPI13" localSheetId="32">#REF!</definedName>
    <definedName name="sKPI13" localSheetId="33">#REF!</definedName>
    <definedName name="sKPI13" localSheetId="36">#REF!</definedName>
    <definedName name="sKPI13" localSheetId="37">#REF!</definedName>
    <definedName name="sKPI13" localSheetId="34">#REF!</definedName>
    <definedName name="sKPI13" localSheetId="35">#REF!</definedName>
    <definedName name="sKPI13" localSheetId="38">#REF!</definedName>
    <definedName name="sKPI13" localSheetId="39">#REF!</definedName>
    <definedName name="sKPI13" localSheetId="40">#REF!</definedName>
    <definedName name="sKPI13" localSheetId="41">#REF!</definedName>
    <definedName name="sKPI13" localSheetId="42">#REF!</definedName>
    <definedName name="sKPI13" localSheetId="43">#REF!</definedName>
    <definedName name="sKPI13" localSheetId="44">#REF!</definedName>
    <definedName name="sKPI13" localSheetId="45">#REF!</definedName>
    <definedName name="sKPI13" localSheetId="46">#REF!</definedName>
    <definedName name="sKPI13" localSheetId="47">#REF!</definedName>
    <definedName name="sKPI13" localSheetId="48">#REF!</definedName>
    <definedName name="sKPI13" localSheetId="49">#REF!</definedName>
    <definedName name="sKPI13" localSheetId="3">#REF!</definedName>
    <definedName name="sKPI13" localSheetId="61">#REF!</definedName>
    <definedName name="sKPI13">#REF!</definedName>
    <definedName name="sKPI14">'2-14'!$H$11</definedName>
    <definedName name="sKPI15" localSheetId="7">#REF!</definedName>
    <definedName name="sKPI15" localSheetId="50">#REF!</definedName>
    <definedName name="sKPI15" localSheetId="8">#REF!</definedName>
    <definedName name="sKPI15" localSheetId="10">#REF!</definedName>
    <definedName name="sKPI15" localSheetId="14">#REF!</definedName>
    <definedName name="sKPI15" localSheetId="15">#REF!</definedName>
    <definedName name="sKPI15" localSheetId="18">#REF!</definedName>
    <definedName name="sKPI15" localSheetId="19">#REF!</definedName>
    <definedName name="sKPI15" localSheetId="24">#REF!</definedName>
    <definedName name="sKPI15" localSheetId="25">#REF!</definedName>
    <definedName name="sKPI15" localSheetId="51">#REF!</definedName>
    <definedName name="sKPI15" localSheetId="52">#REF!</definedName>
    <definedName name="sKPI15" localSheetId="26">#REF!</definedName>
    <definedName name="sKPI15" localSheetId="27">#REF!</definedName>
    <definedName name="sKPI15" localSheetId="30">#REF!</definedName>
    <definedName name="sKPI15" localSheetId="31">#REF!</definedName>
    <definedName name="sKPI15" localSheetId="32">#REF!</definedName>
    <definedName name="sKPI15" localSheetId="33">#REF!</definedName>
    <definedName name="sKPI15" localSheetId="36">#REF!</definedName>
    <definedName name="sKPI15" localSheetId="37">#REF!</definedName>
    <definedName name="sKPI15" localSheetId="34">#REF!</definedName>
    <definedName name="sKPI15" localSheetId="35">#REF!</definedName>
    <definedName name="sKPI15" localSheetId="38">#REF!</definedName>
    <definedName name="sKPI15" localSheetId="39">#REF!</definedName>
    <definedName name="sKPI15" localSheetId="40">#REF!</definedName>
    <definedName name="sKPI15" localSheetId="41">#REF!</definedName>
    <definedName name="sKPI15" localSheetId="42">#REF!</definedName>
    <definedName name="sKPI15" localSheetId="43">#REF!</definedName>
    <definedName name="sKPI15" localSheetId="44">#REF!</definedName>
    <definedName name="sKPI15" localSheetId="45">#REF!</definedName>
    <definedName name="sKPI15" localSheetId="46">#REF!</definedName>
    <definedName name="sKPI15" localSheetId="47">#REF!</definedName>
    <definedName name="sKPI15" localSheetId="48">#REF!</definedName>
    <definedName name="sKPI15" localSheetId="49">#REF!</definedName>
    <definedName name="sKPI15" localSheetId="3">#REF!</definedName>
    <definedName name="sKPI15" localSheetId="61">#REF!</definedName>
    <definedName name="sKPI15">#REF!</definedName>
    <definedName name="sKPI16.1" localSheetId="7">#REF!</definedName>
    <definedName name="sKPI16.1" localSheetId="50">#REF!</definedName>
    <definedName name="sKPI16.1" localSheetId="8">#REF!</definedName>
    <definedName name="sKPI16.1" localSheetId="10">#REF!</definedName>
    <definedName name="sKPI16.1" localSheetId="14">#REF!</definedName>
    <definedName name="sKPI16.1" localSheetId="15">#REF!</definedName>
    <definedName name="sKPI16.1" localSheetId="18">#REF!</definedName>
    <definedName name="sKPI16.1" localSheetId="19">#REF!</definedName>
    <definedName name="sKPI16.1" localSheetId="24">#REF!</definedName>
    <definedName name="sKPI16.1" localSheetId="25">#REF!</definedName>
    <definedName name="sKPI16.1" localSheetId="51">#REF!</definedName>
    <definedName name="sKPI16.1" localSheetId="52">#REF!</definedName>
    <definedName name="sKPI16.1" localSheetId="26">#REF!</definedName>
    <definedName name="sKPI16.1" localSheetId="27">#REF!</definedName>
    <definedName name="sKPI16.1" localSheetId="30">#REF!</definedName>
    <definedName name="sKPI16.1" localSheetId="31">#REF!</definedName>
    <definedName name="sKPI16.1" localSheetId="32">#REF!</definedName>
    <definedName name="sKPI16.1" localSheetId="33">#REF!</definedName>
    <definedName name="sKPI16.1" localSheetId="36">#REF!</definedName>
    <definedName name="sKPI16.1" localSheetId="37">#REF!</definedName>
    <definedName name="sKPI16.1" localSheetId="34">#REF!</definedName>
    <definedName name="sKPI16.1" localSheetId="35">#REF!</definedName>
    <definedName name="sKPI16.1" localSheetId="38">#REF!</definedName>
    <definedName name="sKPI16.1" localSheetId="39">#REF!</definedName>
    <definedName name="sKPI16.1" localSheetId="40">#REF!</definedName>
    <definedName name="sKPI16.1" localSheetId="41">#REF!</definedName>
    <definedName name="sKPI16.1" localSheetId="42">#REF!</definedName>
    <definedName name="sKPI16.1" localSheetId="43">#REF!</definedName>
    <definedName name="sKPI16.1" localSheetId="44">#REF!</definedName>
    <definedName name="sKPI16.1" localSheetId="45">#REF!</definedName>
    <definedName name="sKPI16.1" localSheetId="46">#REF!</definedName>
    <definedName name="sKPI16.1" localSheetId="47">#REF!</definedName>
    <definedName name="sKPI16.1" localSheetId="48">#REF!</definedName>
    <definedName name="sKPI16.1" localSheetId="49">#REF!</definedName>
    <definedName name="sKPI16.1" localSheetId="3">#REF!</definedName>
    <definedName name="sKPI16.1" localSheetId="61">#REF!</definedName>
    <definedName name="sKPI16.1">#REF!</definedName>
    <definedName name="sKPI16.2">'1-16.2'!$H$11</definedName>
    <definedName name="sKPI17" localSheetId="7">#REF!</definedName>
    <definedName name="sKPI17" localSheetId="50">#REF!</definedName>
    <definedName name="sKPI17" localSheetId="8">#REF!</definedName>
    <definedName name="sKPI17" localSheetId="10">#REF!</definedName>
    <definedName name="sKPI17" localSheetId="14">#REF!</definedName>
    <definedName name="sKPI17" localSheetId="15">#REF!</definedName>
    <definedName name="sKPI17" localSheetId="18">#REF!</definedName>
    <definedName name="sKPI17" localSheetId="19">#REF!</definedName>
    <definedName name="sKPI17" localSheetId="24">#REF!</definedName>
    <definedName name="sKPI17" localSheetId="25">#REF!</definedName>
    <definedName name="sKPI17" localSheetId="51">#REF!</definedName>
    <definedName name="sKPI17" localSheetId="52">#REF!</definedName>
    <definedName name="sKPI17" localSheetId="26">#REF!</definedName>
    <definedName name="sKPI17" localSheetId="27">#REF!</definedName>
    <definedName name="sKPI17" localSheetId="30">#REF!</definedName>
    <definedName name="sKPI17" localSheetId="31">#REF!</definedName>
    <definedName name="sKPI17" localSheetId="32">#REF!</definedName>
    <definedName name="sKPI17" localSheetId="33">#REF!</definedName>
    <definedName name="sKPI17" localSheetId="36">#REF!</definedName>
    <definedName name="sKPI17" localSheetId="37">#REF!</definedName>
    <definedName name="sKPI17" localSheetId="34">#REF!</definedName>
    <definedName name="sKPI17" localSheetId="35">#REF!</definedName>
    <definedName name="sKPI17" localSheetId="38">#REF!</definedName>
    <definedName name="sKPI17" localSheetId="39">#REF!</definedName>
    <definedName name="sKPI17" localSheetId="40">#REF!</definedName>
    <definedName name="sKPI17" localSheetId="41">#REF!</definedName>
    <definedName name="sKPI17" localSheetId="42">#REF!</definedName>
    <definedName name="sKPI17" localSheetId="43">#REF!</definedName>
    <definedName name="sKPI17" localSheetId="44">#REF!</definedName>
    <definedName name="sKPI17" localSheetId="45">#REF!</definedName>
    <definedName name="sKPI17" localSheetId="46">#REF!</definedName>
    <definedName name="sKPI17" localSheetId="47">#REF!</definedName>
    <definedName name="sKPI17" localSheetId="48">#REF!</definedName>
    <definedName name="sKPI17" localSheetId="49">#REF!</definedName>
    <definedName name="sKPI17" localSheetId="3">#REF!</definedName>
    <definedName name="sKPI17" localSheetId="61">#REF!</definedName>
    <definedName name="sKPI17">#REF!</definedName>
    <definedName name="sKPI18.1" localSheetId="7">#REF!</definedName>
    <definedName name="sKPI18.1" localSheetId="50">#REF!</definedName>
    <definedName name="sKPI18.1" localSheetId="8">#REF!</definedName>
    <definedName name="sKPI18.1" localSheetId="10">#REF!</definedName>
    <definedName name="sKPI18.1" localSheetId="14">#REF!</definedName>
    <definedName name="sKPI18.1" localSheetId="15">#REF!</definedName>
    <definedName name="sKPI18.1" localSheetId="18">#REF!</definedName>
    <definedName name="sKPI18.1" localSheetId="19">#REF!</definedName>
    <definedName name="sKPI18.1" localSheetId="24">#REF!</definedName>
    <definedName name="sKPI18.1" localSheetId="25">#REF!</definedName>
    <definedName name="sKPI18.1" localSheetId="51">#REF!</definedName>
    <definedName name="sKPI18.1" localSheetId="52">#REF!</definedName>
    <definedName name="sKPI18.1" localSheetId="26">#REF!</definedName>
    <definedName name="sKPI18.1" localSheetId="27">#REF!</definedName>
    <definedName name="sKPI18.1" localSheetId="30">#REF!</definedName>
    <definedName name="sKPI18.1" localSheetId="31">#REF!</definedName>
    <definedName name="sKPI18.1" localSheetId="32">#REF!</definedName>
    <definedName name="sKPI18.1" localSheetId="33">#REF!</definedName>
    <definedName name="sKPI18.1" localSheetId="36">#REF!</definedName>
    <definedName name="sKPI18.1" localSheetId="37">#REF!</definedName>
    <definedName name="sKPI18.1" localSheetId="34">#REF!</definedName>
    <definedName name="sKPI18.1" localSheetId="35">#REF!</definedName>
    <definedName name="sKPI18.1" localSheetId="38">#REF!</definedName>
    <definedName name="sKPI18.1" localSheetId="39">#REF!</definedName>
    <definedName name="sKPI18.1" localSheetId="40">#REF!</definedName>
    <definedName name="sKPI18.1" localSheetId="41">#REF!</definedName>
    <definedName name="sKPI18.1" localSheetId="42">#REF!</definedName>
    <definedName name="sKPI18.1" localSheetId="43">#REF!</definedName>
    <definedName name="sKPI18.1" localSheetId="44">#REF!</definedName>
    <definedName name="sKPI18.1" localSheetId="45">#REF!</definedName>
    <definedName name="sKPI18.1" localSheetId="46">#REF!</definedName>
    <definedName name="sKPI18.1" localSheetId="47">#REF!</definedName>
    <definedName name="sKPI18.1" localSheetId="48">#REF!</definedName>
    <definedName name="sKPI18.1" localSheetId="49">#REF!</definedName>
    <definedName name="sKPI18.1" localSheetId="3">#REF!</definedName>
    <definedName name="sKPI18.1" localSheetId="61">#REF!</definedName>
    <definedName name="sKPI18.1">#REF!</definedName>
    <definedName name="sKPI18.2" localSheetId="7">#REF!</definedName>
    <definedName name="sKPI18.2" localSheetId="50">#REF!</definedName>
    <definedName name="sKPI18.2" localSheetId="8">#REF!</definedName>
    <definedName name="sKPI18.2" localSheetId="10">#REF!</definedName>
    <definedName name="sKPI18.2" localSheetId="14">#REF!</definedName>
    <definedName name="sKPI18.2" localSheetId="15">#REF!</definedName>
    <definedName name="sKPI18.2" localSheetId="18">#REF!</definedName>
    <definedName name="sKPI18.2" localSheetId="19">#REF!</definedName>
    <definedName name="sKPI18.2" localSheetId="24">#REF!</definedName>
    <definedName name="sKPI18.2" localSheetId="25">#REF!</definedName>
    <definedName name="sKPI18.2" localSheetId="51">#REF!</definedName>
    <definedName name="sKPI18.2" localSheetId="52">#REF!</definedName>
    <definedName name="sKPI18.2" localSheetId="26">#REF!</definedName>
    <definedName name="sKPI18.2" localSheetId="27">#REF!</definedName>
    <definedName name="sKPI18.2" localSheetId="30">#REF!</definedName>
    <definedName name="sKPI18.2" localSheetId="31">#REF!</definedName>
    <definedName name="sKPI18.2" localSheetId="32">#REF!</definedName>
    <definedName name="sKPI18.2" localSheetId="33">#REF!</definedName>
    <definedName name="sKPI18.2" localSheetId="36">#REF!</definedName>
    <definedName name="sKPI18.2" localSheetId="37">#REF!</definedName>
    <definedName name="sKPI18.2" localSheetId="34">#REF!</definedName>
    <definedName name="sKPI18.2" localSheetId="35">#REF!</definedName>
    <definedName name="sKPI18.2" localSheetId="38">#REF!</definedName>
    <definedName name="sKPI18.2" localSheetId="39">#REF!</definedName>
    <definedName name="sKPI18.2" localSheetId="40">#REF!</definedName>
    <definedName name="sKPI18.2" localSheetId="41">#REF!</definedName>
    <definedName name="sKPI18.2" localSheetId="42">#REF!</definedName>
    <definedName name="sKPI18.2" localSheetId="43">#REF!</definedName>
    <definedName name="sKPI18.2" localSheetId="44">#REF!</definedName>
    <definedName name="sKPI18.2" localSheetId="45">#REF!</definedName>
    <definedName name="sKPI18.2" localSheetId="46">#REF!</definedName>
    <definedName name="sKPI18.2" localSheetId="47">#REF!</definedName>
    <definedName name="sKPI18.2" localSheetId="48">#REF!</definedName>
    <definedName name="sKPI18.2" localSheetId="49">#REF!</definedName>
    <definedName name="sKPI18.2" localSheetId="3">#REF!</definedName>
    <definedName name="sKPI18.2" localSheetId="61">#REF!</definedName>
    <definedName name="sKPI18.2">#REF!</definedName>
    <definedName name="sKPI2" localSheetId="19">'2-1'!$H$12</definedName>
    <definedName name="sKPI2">'2-2'!$H$12</definedName>
    <definedName name="skpi2.1" localSheetId="7">'1.1'!$D$11</definedName>
    <definedName name="skpi2.1" localSheetId="50">'10-1'!$D$11</definedName>
    <definedName name="skpi2.1" localSheetId="8">'1-16.1'!$D$11</definedName>
    <definedName name="skpi2.1" localSheetId="10">'1-17'!$D$11</definedName>
    <definedName name="skpi2.1" localSheetId="24">'3.1'!$D$11</definedName>
    <definedName name="skpi2.1" localSheetId="25">'3.2'!$D$11</definedName>
    <definedName name="skpi2.1" localSheetId="51">'3D11.1'!$D$11</definedName>
    <definedName name="skpi2.1" localSheetId="52">'3D11.2'!$D$11</definedName>
    <definedName name="skpi2.1" localSheetId="26">'4.1'!$D$11</definedName>
    <definedName name="skpi2.1" localSheetId="38">'6.1'!$D$11</definedName>
    <definedName name="skpi2.1" localSheetId="39">'6-10'!$D$11</definedName>
    <definedName name="skpi2.1" localSheetId="40">'6-11'!$D$11</definedName>
    <definedName name="skpi2.1" localSheetId="41">'7.1'!$D$11</definedName>
    <definedName name="skpi2.1" localSheetId="42">'7.2'!$D$11</definedName>
    <definedName name="skpi2.1" localSheetId="43">'7.3'!$D$11</definedName>
    <definedName name="skpi2.1" localSheetId="44">'7.4'!$D$11</definedName>
    <definedName name="skpi2.1" localSheetId="47">'8.1'!$D$11</definedName>
    <definedName name="skpi2.1" localSheetId="48">'9.1'!$D$11</definedName>
    <definedName name="skpi2.1">'2.1'!$D$11</definedName>
    <definedName name="skpi2.2">'2.2'!$F$21</definedName>
    <definedName name="skpi2.3">'2.3'!$H$21</definedName>
    <definedName name="skpi2.6" localSheetId="14">'2.4'!$D$11</definedName>
    <definedName name="skpi2.6" localSheetId="15">'2.5'!$D$11</definedName>
    <definedName name="skpi2.6">'2.6'!$D$11</definedName>
    <definedName name="skpi2.7" localSheetId="18">'2.8'!$D$11</definedName>
    <definedName name="skpi2.7" localSheetId="27">'4.2'!$D$11</definedName>
    <definedName name="skpi2.7" localSheetId="32">'5.1'!$D$11</definedName>
    <definedName name="skpi2.7" localSheetId="33">'5.2'!$D$11</definedName>
    <definedName name="skpi2.7" localSheetId="36">'5-18.1'!$D$11</definedName>
    <definedName name="skpi2.7" localSheetId="37">'5-18.2'!$D$11</definedName>
    <definedName name="skpi2.7" localSheetId="35">'5-9'!$D$11</definedName>
    <definedName name="skpi2.7">'2.7'!$D$11</definedName>
    <definedName name="sKPI3" localSheetId="7">#REF!</definedName>
    <definedName name="sKPI3" localSheetId="50">#REF!</definedName>
    <definedName name="sKPI3" localSheetId="8">#REF!</definedName>
    <definedName name="sKPI3" localSheetId="10">#REF!</definedName>
    <definedName name="sKPI3" localSheetId="14">#REF!</definedName>
    <definedName name="sKPI3" localSheetId="15">#REF!</definedName>
    <definedName name="sKPI3" localSheetId="18">#REF!</definedName>
    <definedName name="sKPI3" localSheetId="19">#REF!</definedName>
    <definedName name="sKPI3" localSheetId="24">#REF!</definedName>
    <definedName name="sKPI3" localSheetId="25">#REF!</definedName>
    <definedName name="sKPI3" localSheetId="51">#REF!</definedName>
    <definedName name="sKPI3" localSheetId="52">#REF!</definedName>
    <definedName name="sKPI3" localSheetId="26">#REF!</definedName>
    <definedName name="sKPI3" localSheetId="27">#REF!</definedName>
    <definedName name="sKPI3" localSheetId="30">#REF!</definedName>
    <definedName name="sKPI3" localSheetId="31">#REF!</definedName>
    <definedName name="sKPI3" localSheetId="32">#REF!</definedName>
    <definedName name="sKPI3" localSheetId="33">#REF!</definedName>
    <definedName name="sKPI3" localSheetId="36">#REF!</definedName>
    <definedName name="sKPI3" localSheetId="37">#REF!</definedName>
    <definedName name="sKPI3" localSheetId="34">#REF!</definedName>
    <definedName name="sKPI3" localSheetId="35">#REF!</definedName>
    <definedName name="sKPI3" localSheetId="38">#REF!</definedName>
    <definedName name="sKPI3" localSheetId="39">#REF!</definedName>
    <definedName name="sKPI3" localSheetId="40">#REF!</definedName>
    <definedName name="sKPI3" localSheetId="41">#REF!</definedName>
    <definedName name="sKPI3" localSheetId="42">#REF!</definedName>
    <definedName name="sKPI3" localSheetId="43">#REF!</definedName>
    <definedName name="sKPI3" localSheetId="44">#REF!</definedName>
    <definedName name="sKPI3" localSheetId="45">#REF!</definedName>
    <definedName name="sKPI3" localSheetId="46">#REF!</definedName>
    <definedName name="sKPI3" localSheetId="47">#REF!</definedName>
    <definedName name="sKPI3" localSheetId="48">#REF!</definedName>
    <definedName name="sKPI3" localSheetId="49">#REF!</definedName>
    <definedName name="sKPI3" localSheetId="3">#REF!</definedName>
    <definedName name="sKPI3" localSheetId="61">#REF!</definedName>
    <definedName name="sKPI3">#REF!</definedName>
    <definedName name="skpi3n" localSheetId="51">#REF!</definedName>
    <definedName name="skpi3n" localSheetId="52">#REF!</definedName>
    <definedName name="skpi3n" localSheetId="3">#REF!</definedName>
    <definedName name="skpi3n" localSheetId="61">#REF!</definedName>
    <definedName name="skpi3n">#REF!</definedName>
    <definedName name="sKPI4" localSheetId="7">#REF!</definedName>
    <definedName name="sKPI4" localSheetId="50">#REF!</definedName>
    <definedName name="sKPI4" localSheetId="8">#REF!</definedName>
    <definedName name="sKPI4" localSheetId="10">#REF!</definedName>
    <definedName name="sKPI4" localSheetId="14">#REF!</definedName>
    <definedName name="sKPI4" localSheetId="15">#REF!</definedName>
    <definedName name="sKPI4" localSheetId="18">#REF!</definedName>
    <definedName name="sKPI4" localSheetId="19">#REF!</definedName>
    <definedName name="sKPI4" localSheetId="24">#REF!</definedName>
    <definedName name="sKPI4" localSheetId="25">#REF!</definedName>
    <definedName name="sKPI4" localSheetId="51">#REF!</definedName>
    <definedName name="sKPI4" localSheetId="52">#REF!</definedName>
    <definedName name="sKPI4" localSheetId="26">#REF!</definedName>
    <definedName name="sKPI4" localSheetId="27">#REF!</definedName>
    <definedName name="sKPI4" localSheetId="30">#REF!</definedName>
    <definedName name="sKPI4" localSheetId="31">#REF!</definedName>
    <definedName name="sKPI4" localSheetId="32">#REF!</definedName>
    <definedName name="sKPI4" localSheetId="33">#REF!</definedName>
    <definedName name="sKPI4" localSheetId="36">#REF!</definedName>
    <definedName name="sKPI4" localSheetId="37">#REF!</definedName>
    <definedName name="sKPI4" localSheetId="34">#REF!</definedName>
    <definedName name="sKPI4" localSheetId="35">#REF!</definedName>
    <definedName name="sKPI4" localSheetId="38">#REF!</definedName>
    <definedName name="sKPI4" localSheetId="39">#REF!</definedName>
    <definedName name="sKPI4" localSheetId="40">#REF!</definedName>
    <definedName name="sKPI4" localSheetId="41">#REF!</definedName>
    <definedName name="sKPI4" localSheetId="42">#REF!</definedName>
    <definedName name="sKPI4" localSheetId="43">#REF!</definedName>
    <definedName name="sKPI4" localSheetId="44">#REF!</definedName>
    <definedName name="sKPI4" localSheetId="45">#REF!</definedName>
    <definedName name="sKPI4" localSheetId="46">#REF!</definedName>
    <definedName name="sKPI4" localSheetId="47">#REF!</definedName>
    <definedName name="sKPI4" localSheetId="48">#REF!</definedName>
    <definedName name="sKPI4" localSheetId="49">#REF!</definedName>
    <definedName name="sKPI4" localSheetId="3">#REF!</definedName>
    <definedName name="sKPI4" localSheetId="61">#REF!</definedName>
    <definedName name="sKPI4">#REF!</definedName>
    <definedName name="skpi4.3">'4.3'!$H$12</definedName>
    <definedName name="skpi4n">'2-4'!$H$11</definedName>
    <definedName name="sKPI5" localSheetId="7">#REF!</definedName>
    <definedName name="sKPI5" localSheetId="50">#REF!</definedName>
    <definedName name="sKPI5" localSheetId="8">#REF!</definedName>
    <definedName name="sKPI5" localSheetId="10">#REF!</definedName>
    <definedName name="sKPI5" localSheetId="14">#REF!</definedName>
    <definedName name="sKPI5" localSheetId="15">#REF!</definedName>
    <definedName name="sKPI5" localSheetId="18">#REF!</definedName>
    <definedName name="sKPI5" localSheetId="19">#REF!</definedName>
    <definedName name="sKPI5" localSheetId="24">#REF!</definedName>
    <definedName name="sKPI5" localSheetId="25">#REF!</definedName>
    <definedName name="sKPI5" localSheetId="51">#REF!</definedName>
    <definedName name="sKPI5" localSheetId="52">#REF!</definedName>
    <definedName name="sKPI5" localSheetId="26">#REF!</definedName>
    <definedName name="sKPI5" localSheetId="27">#REF!</definedName>
    <definedName name="sKPI5" localSheetId="30">#REF!</definedName>
    <definedName name="sKPI5" localSheetId="31">#REF!</definedName>
    <definedName name="sKPI5" localSheetId="32">#REF!</definedName>
    <definedName name="sKPI5" localSheetId="33">#REF!</definedName>
    <definedName name="sKPI5" localSheetId="36">#REF!</definedName>
    <definedName name="sKPI5" localSheetId="37">#REF!</definedName>
    <definedName name="sKPI5" localSheetId="34">#REF!</definedName>
    <definedName name="sKPI5" localSheetId="35">#REF!</definedName>
    <definedName name="sKPI5" localSheetId="38">#REF!</definedName>
    <definedName name="sKPI5" localSheetId="39">#REF!</definedName>
    <definedName name="sKPI5" localSheetId="40">#REF!</definedName>
    <definedName name="sKPI5" localSheetId="41">#REF!</definedName>
    <definedName name="sKPI5" localSheetId="42">#REF!</definedName>
    <definedName name="sKPI5" localSheetId="43">#REF!</definedName>
    <definedName name="sKPI5" localSheetId="44">#REF!</definedName>
    <definedName name="sKPI5" localSheetId="45">#REF!</definedName>
    <definedName name="sKPI5" localSheetId="46">#REF!</definedName>
    <definedName name="sKPI5" localSheetId="47">#REF!</definedName>
    <definedName name="sKPI5" localSheetId="48">#REF!</definedName>
    <definedName name="sKPI5" localSheetId="49">#REF!</definedName>
    <definedName name="sKPI5" localSheetId="3">#REF!</definedName>
    <definedName name="sKPI5" localSheetId="61">#REF!</definedName>
    <definedName name="sKPI5">#REF!</definedName>
    <definedName name="skpi5n" localSheetId="30">'4-6'!$H$12</definedName>
    <definedName name="skpi5n" localSheetId="31">'4-7'!$H$12</definedName>
    <definedName name="skpi5n" localSheetId="34">'5-8'!$H$12</definedName>
    <definedName name="skpi5n" localSheetId="45">'7-12'!$H$12</definedName>
    <definedName name="skpi5n" localSheetId="46">'7-13'!$H$12</definedName>
    <definedName name="skpi5n" localSheetId="49">'9-15'!$H$12</definedName>
    <definedName name="skpi5n">'4-5'!$H$12</definedName>
    <definedName name="sKPI6" localSheetId="7">'4.3'!#REF!</definedName>
    <definedName name="sKPI6" localSheetId="50">'4.3'!#REF!</definedName>
    <definedName name="sKPI6" localSheetId="8">'4.3'!#REF!</definedName>
    <definedName name="sKPI6" localSheetId="10">'4.3'!#REF!</definedName>
    <definedName name="sKPI6" localSheetId="14">'4.3'!#REF!</definedName>
    <definedName name="sKPI6" localSheetId="15">'4.3'!#REF!</definedName>
    <definedName name="sKPI6" localSheetId="18">'4.3'!#REF!</definedName>
    <definedName name="sKPI6" localSheetId="19">'4.3'!#REF!</definedName>
    <definedName name="sKPI6" localSheetId="24">'4.3'!#REF!</definedName>
    <definedName name="sKPI6" localSheetId="25">'4.3'!#REF!</definedName>
    <definedName name="sKPI6" localSheetId="51">'4.3'!#REF!</definedName>
    <definedName name="sKPI6" localSheetId="52">'4.3'!#REF!</definedName>
    <definedName name="sKPI6" localSheetId="26">'4.3'!#REF!</definedName>
    <definedName name="sKPI6" localSheetId="27">'4.3'!#REF!</definedName>
    <definedName name="sKPI6" localSheetId="30">'4.3'!#REF!</definedName>
    <definedName name="sKPI6" localSheetId="31">'4.3'!#REF!</definedName>
    <definedName name="sKPI6" localSheetId="32">'4.3'!#REF!</definedName>
    <definedName name="sKPI6" localSheetId="33">'4.3'!#REF!</definedName>
    <definedName name="sKPI6" localSheetId="36">'4.3'!#REF!</definedName>
    <definedName name="sKPI6" localSheetId="37">'4.3'!#REF!</definedName>
    <definedName name="sKPI6" localSheetId="34">'4.3'!#REF!</definedName>
    <definedName name="sKPI6" localSheetId="35">'4.3'!#REF!</definedName>
    <definedName name="sKPI6" localSheetId="38">'4.3'!#REF!</definedName>
    <definedName name="sKPI6" localSheetId="39">'4.3'!#REF!</definedName>
    <definedName name="sKPI6" localSheetId="40">'4.3'!#REF!</definedName>
    <definedName name="sKPI6" localSheetId="41">'4.3'!#REF!</definedName>
    <definedName name="sKPI6" localSheetId="42">'4.3'!#REF!</definedName>
    <definedName name="sKPI6" localSheetId="43">'4.3'!#REF!</definedName>
    <definedName name="sKPI6" localSheetId="44">'4.3'!#REF!</definedName>
    <definedName name="sKPI6" localSheetId="45">'4.3'!#REF!</definedName>
    <definedName name="sKPI6" localSheetId="46">'4.3'!#REF!</definedName>
    <definedName name="sKPI6" localSheetId="47">'4.3'!#REF!</definedName>
    <definedName name="sKPI6" localSheetId="48">'4.3'!#REF!</definedName>
    <definedName name="sKPI6" localSheetId="49">'4.3'!#REF!</definedName>
    <definedName name="sKPI6" localSheetId="3">'4.3'!#REF!</definedName>
    <definedName name="sKPI6" localSheetId="61">'4.3'!#REF!</definedName>
    <definedName name="sKPI6">'4.3'!#REF!</definedName>
    <definedName name="sKPI7" localSheetId="7">#REF!</definedName>
    <definedName name="sKPI7" localSheetId="50">#REF!</definedName>
    <definedName name="sKPI7" localSheetId="8">#REF!</definedName>
    <definedName name="sKPI7" localSheetId="10">#REF!</definedName>
    <definedName name="sKPI7" localSheetId="14">#REF!</definedName>
    <definedName name="sKPI7" localSheetId="15">#REF!</definedName>
    <definedName name="sKPI7" localSheetId="18">#REF!</definedName>
    <definedName name="sKPI7" localSheetId="19">#REF!</definedName>
    <definedName name="sKPI7" localSheetId="24">#REF!</definedName>
    <definedName name="sKPI7" localSheetId="25">#REF!</definedName>
    <definedName name="sKPI7" localSheetId="51">#REF!</definedName>
    <definedName name="sKPI7" localSheetId="52">#REF!</definedName>
    <definedName name="sKPI7" localSheetId="26">#REF!</definedName>
    <definedName name="sKPI7" localSheetId="27">#REF!</definedName>
    <definedName name="sKPI7" localSheetId="30">#REF!</definedName>
    <definedName name="sKPI7" localSheetId="31">#REF!</definedName>
    <definedName name="sKPI7" localSheetId="32">#REF!</definedName>
    <definedName name="sKPI7" localSheetId="33">#REF!</definedName>
    <definedName name="sKPI7" localSheetId="36">#REF!</definedName>
    <definedName name="sKPI7" localSheetId="37">#REF!</definedName>
    <definedName name="sKPI7" localSheetId="34">#REF!</definedName>
    <definedName name="sKPI7" localSheetId="35">#REF!</definedName>
    <definedName name="sKPI7" localSheetId="38">#REF!</definedName>
    <definedName name="sKPI7" localSheetId="39">#REF!</definedName>
    <definedName name="sKPI7" localSheetId="40">#REF!</definedName>
    <definedName name="sKPI7" localSheetId="41">#REF!</definedName>
    <definedName name="sKPI7" localSheetId="42">#REF!</definedName>
    <definedName name="sKPI7" localSheetId="43">#REF!</definedName>
    <definedName name="sKPI7" localSheetId="44">#REF!</definedName>
    <definedName name="sKPI7" localSheetId="45">#REF!</definedName>
    <definedName name="sKPI7" localSheetId="46">#REF!</definedName>
    <definedName name="sKPI7" localSheetId="47">#REF!</definedName>
    <definedName name="sKPI7" localSheetId="48">#REF!</definedName>
    <definedName name="sKPI7" localSheetId="49">#REF!</definedName>
    <definedName name="sKPI7" localSheetId="3">#REF!</definedName>
    <definedName name="sKPI7" localSheetId="61">#REF!</definedName>
    <definedName name="sKPI7">#REF!</definedName>
    <definedName name="sKPI8" localSheetId="7">#REF!</definedName>
    <definedName name="sKPI8" localSheetId="50">#REF!</definedName>
    <definedName name="sKPI8" localSheetId="8">#REF!</definedName>
    <definedName name="sKPI8" localSheetId="10">#REF!</definedName>
    <definedName name="sKPI8" localSheetId="14">#REF!</definedName>
    <definedName name="sKPI8" localSheetId="15">#REF!</definedName>
    <definedName name="sKPI8" localSheetId="18">#REF!</definedName>
    <definedName name="sKPI8" localSheetId="19">#REF!</definedName>
    <definedName name="sKPI8" localSheetId="24">#REF!</definedName>
    <definedName name="sKPI8" localSheetId="25">#REF!</definedName>
    <definedName name="sKPI8" localSheetId="51">#REF!</definedName>
    <definedName name="sKPI8" localSheetId="52">#REF!</definedName>
    <definedName name="sKPI8" localSheetId="26">#REF!</definedName>
    <definedName name="sKPI8" localSheetId="27">#REF!</definedName>
    <definedName name="sKPI8" localSheetId="30">#REF!</definedName>
    <definedName name="sKPI8" localSheetId="31">#REF!</definedName>
    <definedName name="sKPI8" localSheetId="32">#REF!</definedName>
    <definedName name="sKPI8" localSheetId="33">#REF!</definedName>
    <definedName name="sKPI8" localSheetId="36">#REF!</definedName>
    <definedName name="sKPI8" localSheetId="37">#REF!</definedName>
    <definedName name="sKPI8" localSheetId="34">#REF!</definedName>
    <definedName name="sKPI8" localSheetId="35">#REF!</definedName>
    <definedName name="sKPI8" localSheetId="38">#REF!</definedName>
    <definedName name="sKPI8" localSheetId="39">#REF!</definedName>
    <definedName name="sKPI8" localSheetId="40">#REF!</definedName>
    <definedName name="sKPI8" localSheetId="41">#REF!</definedName>
    <definedName name="sKPI8" localSheetId="42">#REF!</definedName>
    <definedName name="sKPI8" localSheetId="43">#REF!</definedName>
    <definedName name="sKPI8" localSheetId="44">#REF!</definedName>
    <definedName name="sKPI8" localSheetId="45">#REF!</definedName>
    <definedName name="sKPI8" localSheetId="46">#REF!</definedName>
    <definedName name="sKPI8" localSheetId="47">#REF!</definedName>
    <definedName name="sKPI8" localSheetId="48">#REF!</definedName>
    <definedName name="sKPI8" localSheetId="49">#REF!</definedName>
    <definedName name="sKPI8" localSheetId="3">#REF!</definedName>
    <definedName name="sKPI8" localSheetId="61">#REF!</definedName>
    <definedName name="sKPI8">#REF!</definedName>
    <definedName name="sKPI9" localSheetId="7">#REF!</definedName>
    <definedName name="sKPI9" localSheetId="50">#REF!</definedName>
    <definedName name="sKPI9" localSheetId="8">#REF!</definedName>
    <definedName name="sKPI9" localSheetId="10">#REF!</definedName>
    <definedName name="sKPI9" localSheetId="14">#REF!</definedName>
    <definedName name="sKPI9" localSheetId="15">#REF!</definedName>
    <definedName name="sKPI9" localSheetId="18">#REF!</definedName>
    <definedName name="sKPI9" localSheetId="19">#REF!</definedName>
    <definedName name="sKPI9" localSheetId="24">#REF!</definedName>
    <definedName name="sKPI9" localSheetId="25">#REF!</definedName>
    <definedName name="sKPI9" localSheetId="51">#REF!</definedName>
    <definedName name="sKPI9" localSheetId="52">#REF!</definedName>
    <definedName name="sKPI9" localSheetId="26">#REF!</definedName>
    <definedName name="sKPI9" localSheetId="27">#REF!</definedName>
    <definedName name="sKPI9" localSheetId="30">#REF!</definedName>
    <definedName name="sKPI9" localSheetId="31">#REF!</definedName>
    <definedName name="sKPI9" localSheetId="32">#REF!</definedName>
    <definedName name="sKPI9" localSheetId="33">#REF!</definedName>
    <definedName name="sKPI9" localSheetId="36">#REF!</definedName>
    <definedName name="sKPI9" localSheetId="37">#REF!</definedName>
    <definedName name="sKPI9" localSheetId="34">#REF!</definedName>
    <definedName name="sKPI9" localSheetId="35">#REF!</definedName>
    <definedName name="sKPI9" localSheetId="38">#REF!</definedName>
    <definedName name="sKPI9" localSheetId="39">#REF!</definedName>
    <definedName name="sKPI9" localSheetId="40">#REF!</definedName>
    <definedName name="sKPI9" localSheetId="41">#REF!</definedName>
    <definedName name="sKPI9" localSheetId="42">#REF!</definedName>
    <definedName name="sKPI9" localSheetId="43">#REF!</definedName>
    <definedName name="sKPI9" localSheetId="44">#REF!</definedName>
    <definedName name="sKPI9" localSheetId="45">#REF!</definedName>
    <definedName name="sKPI9" localSheetId="46">#REF!</definedName>
    <definedName name="sKPI9" localSheetId="47">#REF!</definedName>
    <definedName name="sKPI9" localSheetId="48">#REF!</definedName>
    <definedName name="sKPI9" localSheetId="49">#REF!</definedName>
    <definedName name="sKPI9" localSheetId="3">#REF!</definedName>
    <definedName name="sKPI9" localSheetId="61">#REF!</definedName>
    <definedName name="sKPI9">#REF!</definedName>
    <definedName name="sskpi2.2">'2.2'!$H$21</definedName>
    <definedName name="เกณฑ์KPI1" localSheetId="7">#REF!</definedName>
    <definedName name="เกณฑ์KPI1" localSheetId="50">#REF!</definedName>
    <definedName name="เกณฑ์KPI1" localSheetId="8">#REF!</definedName>
    <definedName name="เกณฑ์KPI1" localSheetId="10">#REF!</definedName>
    <definedName name="เกณฑ์KPI1" localSheetId="14">#REF!</definedName>
    <definedName name="เกณฑ์KPI1" localSheetId="15">#REF!</definedName>
    <definedName name="เกณฑ์KPI1" localSheetId="18">#REF!</definedName>
    <definedName name="เกณฑ์KPI1" localSheetId="19">#REF!</definedName>
    <definedName name="เกณฑ์KPI1" localSheetId="24">#REF!</definedName>
    <definedName name="เกณฑ์KPI1" localSheetId="25">#REF!</definedName>
    <definedName name="เกณฑ์KPI1" localSheetId="51">#REF!</definedName>
    <definedName name="เกณฑ์KPI1" localSheetId="52">#REF!</definedName>
    <definedName name="เกณฑ์KPI1" localSheetId="26">#REF!</definedName>
    <definedName name="เกณฑ์KPI1" localSheetId="27">#REF!</definedName>
    <definedName name="เกณฑ์KPI1" localSheetId="30">#REF!</definedName>
    <definedName name="เกณฑ์KPI1" localSheetId="31">#REF!</definedName>
    <definedName name="เกณฑ์KPI1" localSheetId="32">#REF!</definedName>
    <definedName name="เกณฑ์KPI1" localSheetId="33">#REF!</definedName>
    <definedName name="เกณฑ์KPI1" localSheetId="36">#REF!</definedName>
    <definedName name="เกณฑ์KPI1" localSheetId="37">#REF!</definedName>
    <definedName name="เกณฑ์KPI1" localSheetId="34">#REF!</definedName>
    <definedName name="เกณฑ์KPI1" localSheetId="35">#REF!</definedName>
    <definedName name="เกณฑ์KPI1" localSheetId="38">#REF!</definedName>
    <definedName name="เกณฑ์KPI1" localSheetId="39">#REF!</definedName>
    <definedName name="เกณฑ์KPI1" localSheetId="40">#REF!</definedName>
    <definedName name="เกณฑ์KPI1" localSheetId="41">#REF!</definedName>
    <definedName name="เกณฑ์KPI1" localSheetId="42">#REF!</definedName>
    <definedName name="เกณฑ์KPI1" localSheetId="43">#REF!</definedName>
    <definedName name="เกณฑ์KPI1" localSheetId="44">#REF!</definedName>
    <definedName name="เกณฑ์KPI1" localSheetId="45">#REF!</definedName>
    <definedName name="เกณฑ์KPI1" localSheetId="46">#REF!</definedName>
    <definedName name="เกณฑ์KPI1" localSheetId="47">#REF!</definedName>
    <definedName name="เกณฑ์KPI1" localSheetId="48">#REF!</definedName>
    <definedName name="เกณฑ์KPI1" localSheetId="49">#REF!</definedName>
    <definedName name="เกณฑ์KPI1" localSheetId="3">#REF!</definedName>
    <definedName name="เกณฑ์KPI1" localSheetId="61">#REF!</definedName>
    <definedName name="เกณฑ์KPI1">#REF!</definedName>
    <definedName name="เกณฑ์KPI14" localSheetId="7">'2-14'!#REF!</definedName>
    <definedName name="เกณฑ์KPI14" localSheetId="50">'2-14'!#REF!</definedName>
    <definedName name="เกณฑ์KPI14" localSheetId="8">'2-14'!#REF!</definedName>
    <definedName name="เกณฑ์KPI14" localSheetId="10">'2-14'!#REF!</definedName>
    <definedName name="เกณฑ์KPI14" localSheetId="14">'2-14'!#REF!</definedName>
    <definedName name="เกณฑ์KPI14" localSheetId="15">'2-14'!#REF!</definedName>
    <definedName name="เกณฑ์KPI14" localSheetId="18">'2-14'!#REF!</definedName>
    <definedName name="เกณฑ์KPI14" localSheetId="19">'2-14'!#REF!</definedName>
    <definedName name="เกณฑ์KPI14" localSheetId="24">'2-14'!#REF!</definedName>
    <definedName name="เกณฑ์KPI14" localSheetId="25">'2-14'!#REF!</definedName>
    <definedName name="เกณฑ์KPI14" localSheetId="51">'2-14'!#REF!</definedName>
    <definedName name="เกณฑ์KPI14" localSheetId="52">'2-14'!#REF!</definedName>
    <definedName name="เกณฑ์KPI14" localSheetId="26">'2-14'!#REF!</definedName>
    <definedName name="เกณฑ์KPI14" localSheetId="27">'2-14'!#REF!</definedName>
    <definedName name="เกณฑ์KPI14" localSheetId="30">'2-14'!#REF!</definedName>
    <definedName name="เกณฑ์KPI14" localSheetId="31">'2-14'!#REF!</definedName>
    <definedName name="เกณฑ์KPI14" localSheetId="32">'2-14'!#REF!</definedName>
    <definedName name="เกณฑ์KPI14" localSheetId="33">'2-14'!#REF!</definedName>
    <definedName name="เกณฑ์KPI14" localSheetId="36">'2-14'!#REF!</definedName>
    <definedName name="เกณฑ์KPI14" localSheetId="37">'2-14'!#REF!</definedName>
    <definedName name="เกณฑ์KPI14" localSheetId="34">'2-14'!#REF!</definedName>
    <definedName name="เกณฑ์KPI14" localSheetId="35">'2-14'!#REF!</definedName>
    <definedName name="เกณฑ์KPI14" localSheetId="38">'2-14'!#REF!</definedName>
    <definedName name="เกณฑ์KPI14" localSheetId="39">'2-14'!#REF!</definedName>
    <definedName name="เกณฑ์KPI14" localSheetId="40">'2-14'!#REF!</definedName>
    <definedName name="เกณฑ์KPI14" localSheetId="41">'2-14'!#REF!</definedName>
    <definedName name="เกณฑ์KPI14" localSheetId="42">'2-14'!#REF!</definedName>
    <definedName name="เกณฑ์KPI14" localSheetId="43">'2-14'!#REF!</definedName>
    <definedName name="เกณฑ์KPI14" localSheetId="44">'2-14'!#REF!</definedName>
    <definedName name="เกณฑ์KPI14" localSheetId="45">'2-14'!#REF!</definedName>
    <definedName name="เกณฑ์KPI14" localSheetId="46">'2-14'!#REF!</definedName>
    <definedName name="เกณฑ์KPI14" localSheetId="47">'2-14'!#REF!</definedName>
    <definedName name="เกณฑ์KPI14" localSheetId="48">'2-14'!#REF!</definedName>
    <definedName name="เกณฑ์KPI14" localSheetId="49">'2-14'!#REF!</definedName>
    <definedName name="เกณฑ์KPI14" localSheetId="3">'2-14'!#REF!</definedName>
    <definedName name="เกณฑ์KPI14" localSheetId="61">'2-14'!#REF!</definedName>
    <definedName name="เกณฑ์KPI14">'2-14'!#REF!</definedName>
    <definedName name="เกณฑ์KPI3" localSheetId="7">#REF!</definedName>
    <definedName name="เกณฑ์KPI3" localSheetId="50">#REF!</definedName>
    <definedName name="เกณฑ์KPI3" localSheetId="8">#REF!</definedName>
    <definedName name="เกณฑ์KPI3" localSheetId="10">#REF!</definedName>
    <definedName name="เกณฑ์KPI3" localSheetId="14">#REF!</definedName>
    <definedName name="เกณฑ์KPI3" localSheetId="15">#REF!</definedName>
    <definedName name="เกณฑ์KPI3" localSheetId="18">#REF!</definedName>
    <definedName name="เกณฑ์KPI3" localSheetId="19">#REF!</definedName>
    <definedName name="เกณฑ์KPI3" localSheetId="24">#REF!</definedName>
    <definedName name="เกณฑ์KPI3" localSheetId="25">#REF!</definedName>
    <definedName name="เกณฑ์KPI3" localSheetId="51">#REF!</definedName>
    <definedName name="เกณฑ์KPI3" localSheetId="52">#REF!</definedName>
    <definedName name="เกณฑ์KPI3" localSheetId="26">#REF!</definedName>
    <definedName name="เกณฑ์KPI3" localSheetId="27">#REF!</definedName>
    <definedName name="เกณฑ์KPI3" localSheetId="30">#REF!</definedName>
    <definedName name="เกณฑ์KPI3" localSheetId="31">#REF!</definedName>
    <definedName name="เกณฑ์KPI3" localSheetId="32">#REF!</definedName>
    <definedName name="เกณฑ์KPI3" localSheetId="33">#REF!</definedName>
    <definedName name="เกณฑ์KPI3" localSheetId="36">#REF!</definedName>
    <definedName name="เกณฑ์KPI3" localSheetId="37">#REF!</definedName>
    <definedName name="เกณฑ์KPI3" localSheetId="34">#REF!</definedName>
    <definedName name="เกณฑ์KPI3" localSheetId="35">#REF!</definedName>
    <definedName name="เกณฑ์KPI3" localSheetId="38">#REF!</definedName>
    <definedName name="เกณฑ์KPI3" localSheetId="39">#REF!</definedName>
    <definedName name="เกณฑ์KPI3" localSheetId="40">#REF!</definedName>
    <definedName name="เกณฑ์KPI3" localSheetId="41">#REF!</definedName>
    <definedName name="เกณฑ์KPI3" localSheetId="42">#REF!</definedName>
    <definedName name="เกณฑ์KPI3" localSheetId="43">#REF!</definedName>
    <definedName name="เกณฑ์KPI3" localSheetId="44">#REF!</definedName>
    <definedName name="เกณฑ์KPI3" localSheetId="45">#REF!</definedName>
    <definedName name="เกณฑ์KPI3" localSheetId="46">#REF!</definedName>
    <definedName name="เกณฑ์KPI3" localSheetId="47">#REF!</definedName>
    <definedName name="เกณฑ์KPI3" localSheetId="48">#REF!</definedName>
    <definedName name="เกณฑ์KPI3" localSheetId="49">#REF!</definedName>
    <definedName name="เกณฑ์KPI3" localSheetId="3">#REF!</definedName>
    <definedName name="เกณฑ์KPI3" localSheetId="61">#REF!</definedName>
    <definedName name="เกณฑ์KPI3">#REF!</definedName>
    <definedName name="เกณฑ์kpi4" localSheetId="7">#REF!</definedName>
    <definedName name="เกณฑ์kpi4" localSheetId="50">#REF!</definedName>
    <definedName name="เกณฑ์kpi4" localSheetId="8">#REF!</definedName>
    <definedName name="เกณฑ์kpi4" localSheetId="10">#REF!</definedName>
    <definedName name="เกณฑ์kpi4" localSheetId="14">#REF!</definedName>
    <definedName name="เกณฑ์kpi4" localSheetId="15">#REF!</definedName>
    <definedName name="เกณฑ์kpi4" localSheetId="18">#REF!</definedName>
    <definedName name="เกณฑ์kpi4" localSheetId="19">#REF!</definedName>
    <definedName name="เกณฑ์kpi4" localSheetId="24">#REF!</definedName>
    <definedName name="เกณฑ์kpi4" localSheetId="25">#REF!</definedName>
    <definedName name="เกณฑ์kpi4" localSheetId="51">#REF!</definedName>
    <definedName name="เกณฑ์kpi4" localSheetId="52">#REF!</definedName>
    <definedName name="เกณฑ์kpi4" localSheetId="26">#REF!</definedName>
    <definedName name="เกณฑ์kpi4" localSheetId="27">#REF!</definedName>
    <definedName name="เกณฑ์kpi4" localSheetId="30">#REF!</definedName>
    <definedName name="เกณฑ์kpi4" localSheetId="31">#REF!</definedName>
    <definedName name="เกณฑ์kpi4" localSheetId="32">#REF!</definedName>
    <definedName name="เกณฑ์kpi4" localSheetId="33">#REF!</definedName>
    <definedName name="เกณฑ์kpi4" localSheetId="36">#REF!</definedName>
    <definedName name="เกณฑ์kpi4" localSheetId="37">#REF!</definedName>
    <definedName name="เกณฑ์kpi4" localSheetId="34">#REF!</definedName>
    <definedName name="เกณฑ์kpi4" localSheetId="35">#REF!</definedName>
    <definedName name="เกณฑ์kpi4" localSheetId="38">#REF!</definedName>
    <definedName name="เกณฑ์kpi4" localSheetId="39">#REF!</definedName>
    <definedName name="เกณฑ์kpi4" localSheetId="40">#REF!</definedName>
    <definedName name="เกณฑ์kpi4" localSheetId="41">#REF!</definedName>
    <definedName name="เกณฑ์kpi4" localSheetId="42">#REF!</definedName>
    <definedName name="เกณฑ์kpi4" localSheetId="43">#REF!</definedName>
    <definedName name="เกณฑ์kpi4" localSheetId="44">#REF!</definedName>
    <definedName name="เกณฑ์kpi4" localSheetId="45">#REF!</definedName>
    <definedName name="เกณฑ์kpi4" localSheetId="46">#REF!</definedName>
    <definedName name="เกณฑ์kpi4" localSheetId="47">#REF!</definedName>
    <definedName name="เกณฑ์kpi4" localSheetId="48">#REF!</definedName>
    <definedName name="เกณฑ์kpi4" localSheetId="49">#REF!</definedName>
    <definedName name="เกณฑ์kpi4" localSheetId="3">#REF!</definedName>
    <definedName name="เกณฑ์kpi4" localSheetId="61">#REF!</definedName>
    <definedName name="เกณฑ์kpi4">#REF!</definedName>
    <definedName name="เกณฑ์KPI5" localSheetId="7">#REF!</definedName>
    <definedName name="เกณฑ์KPI5" localSheetId="50">#REF!</definedName>
    <definedName name="เกณฑ์KPI5" localSheetId="8">#REF!</definedName>
    <definedName name="เกณฑ์KPI5" localSheetId="10">#REF!</definedName>
    <definedName name="เกณฑ์KPI5" localSheetId="14">#REF!</definedName>
    <definedName name="เกณฑ์KPI5" localSheetId="15">#REF!</definedName>
    <definedName name="เกณฑ์KPI5" localSheetId="18">#REF!</definedName>
    <definedName name="เกณฑ์KPI5" localSheetId="19">#REF!</definedName>
    <definedName name="เกณฑ์KPI5" localSheetId="24">#REF!</definedName>
    <definedName name="เกณฑ์KPI5" localSheetId="25">#REF!</definedName>
    <definedName name="เกณฑ์KPI5" localSheetId="51">#REF!</definedName>
    <definedName name="เกณฑ์KPI5" localSheetId="52">#REF!</definedName>
    <definedName name="เกณฑ์KPI5" localSheetId="26">#REF!</definedName>
    <definedName name="เกณฑ์KPI5" localSheetId="27">#REF!</definedName>
    <definedName name="เกณฑ์KPI5" localSheetId="30">#REF!</definedName>
    <definedName name="เกณฑ์KPI5" localSheetId="31">#REF!</definedName>
    <definedName name="เกณฑ์KPI5" localSheetId="32">#REF!</definedName>
    <definedName name="เกณฑ์KPI5" localSheetId="33">#REF!</definedName>
    <definedName name="เกณฑ์KPI5" localSheetId="36">#REF!</definedName>
    <definedName name="เกณฑ์KPI5" localSheetId="37">#REF!</definedName>
    <definedName name="เกณฑ์KPI5" localSheetId="34">#REF!</definedName>
    <definedName name="เกณฑ์KPI5" localSheetId="35">#REF!</definedName>
    <definedName name="เกณฑ์KPI5" localSheetId="38">#REF!</definedName>
    <definedName name="เกณฑ์KPI5" localSheetId="39">#REF!</definedName>
    <definedName name="เกณฑ์KPI5" localSheetId="40">#REF!</definedName>
    <definedName name="เกณฑ์KPI5" localSheetId="41">#REF!</definedName>
    <definedName name="เกณฑ์KPI5" localSheetId="42">#REF!</definedName>
    <definedName name="เกณฑ์KPI5" localSheetId="43">#REF!</definedName>
    <definedName name="เกณฑ์KPI5" localSheetId="44">#REF!</definedName>
    <definedName name="เกณฑ์KPI5" localSheetId="45">#REF!</definedName>
    <definedName name="เกณฑ์KPI5" localSheetId="46">#REF!</definedName>
    <definedName name="เกณฑ์KPI5" localSheetId="47">#REF!</definedName>
    <definedName name="เกณฑ์KPI5" localSheetId="48">#REF!</definedName>
    <definedName name="เกณฑ์KPI5" localSheetId="49">#REF!</definedName>
    <definedName name="เกณฑ์KPI5" localSheetId="3">#REF!</definedName>
    <definedName name="เกณฑ์KPI5" localSheetId="61">#REF!</definedName>
    <definedName name="เกณฑ์KPI5">#REF!</definedName>
    <definedName name="เกณฑ์KPI6" localSheetId="7">'4.3'!#REF!</definedName>
    <definedName name="เกณฑ์KPI6" localSheetId="50">'4.3'!#REF!</definedName>
    <definedName name="เกณฑ์KPI6" localSheetId="8">'4.3'!#REF!</definedName>
    <definedName name="เกณฑ์KPI6" localSheetId="10">'4.3'!#REF!</definedName>
    <definedName name="เกณฑ์KPI6" localSheetId="14">'4.3'!#REF!</definedName>
    <definedName name="เกณฑ์KPI6" localSheetId="15">'4.3'!#REF!</definedName>
    <definedName name="เกณฑ์KPI6" localSheetId="18">'4.3'!#REF!</definedName>
    <definedName name="เกณฑ์KPI6" localSheetId="19">'4.3'!#REF!</definedName>
    <definedName name="เกณฑ์KPI6" localSheetId="24">'4.3'!#REF!</definedName>
    <definedName name="เกณฑ์KPI6" localSheetId="25">'4.3'!#REF!</definedName>
    <definedName name="เกณฑ์KPI6" localSheetId="51">'4.3'!#REF!</definedName>
    <definedName name="เกณฑ์KPI6" localSheetId="52">'4.3'!#REF!</definedName>
    <definedName name="เกณฑ์KPI6" localSheetId="26">'4.3'!#REF!</definedName>
    <definedName name="เกณฑ์KPI6" localSheetId="27">'4.3'!#REF!</definedName>
    <definedName name="เกณฑ์KPI6" localSheetId="30">'4.3'!#REF!</definedName>
    <definedName name="เกณฑ์KPI6" localSheetId="31">'4.3'!#REF!</definedName>
    <definedName name="เกณฑ์KPI6" localSheetId="32">'4.3'!#REF!</definedName>
    <definedName name="เกณฑ์KPI6" localSheetId="33">'4.3'!#REF!</definedName>
    <definedName name="เกณฑ์KPI6" localSheetId="36">'4.3'!#REF!</definedName>
    <definedName name="เกณฑ์KPI6" localSheetId="37">'4.3'!#REF!</definedName>
    <definedName name="เกณฑ์KPI6" localSheetId="34">'4.3'!#REF!</definedName>
    <definedName name="เกณฑ์KPI6" localSheetId="35">'4.3'!#REF!</definedName>
    <definedName name="เกณฑ์KPI6" localSheetId="38">'4.3'!#REF!</definedName>
    <definedName name="เกณฑ์KPI6" localSheetId="39">'4.3'!#REF!</definedName>
    <definedName name="เกณฑ์KPI6" localSheetId="40">'4.3'!#REF!</definedName>
    <definedName name="เกณฑ์KPI6" localSheetId="41">'4.3'!#REF!</definedName>
    <definedName name="เกณฑ์KPI6" localSheetId="42">'4.3'!#REF!</definedName>
    <definedName name="เกณฑ์KPI6" localSheetId="43">'4.3'!#REF!</definedName>
    <definedName name="เกณฑ์KPI6" localSheetId="44">'4.3'!#REF!</definedName>
    <definedName name="เกณฑ์KPI6" localSheetId="45">'4.3'!#REF!</definedName>
    <definedName name="เกณฑ์KPI6" localSheetId="46">'4.3'!#REF!</definedName>
    <definedName name="เกณฑ์KPI6" localSheetId="47">'4.3'!#REF!</definedName>
    <definedName name="เกณฑ์KPI6" localSheetId="48">'4.3'!#REF!</definedName>
    <definedName name="เกณฑ์KPI6" localSheetId="49">'4.3'!#REF!</definedName>
    <definedName name="เกณฑ์KPI6" localSheetId="3">'4.3'!#REF!</definedName>
    <definedName name="เกณฑ์KPI6" localSheetId="61">'4.3'!#REF!</definedName>
    <definedName name="เกณฑ์KPI6">'4.3'!#REF!</definedName>
    <definedName name="เกณฑ์KPI7" localSheetId="7">#REF!</definedName>
    <definedName name="เกณฑ์KPI7" localSheetId="50">#REF!</definedName>
    <definedName name="เกณฑ์KPI7" localSheetId="8">#REF!</definedName>
    <definedName name="เกณฑ์KPI7" localSheetId="10">#REF!</definedName>
    <definedName name="เกณฑ์KPI7" localSheetId="14">#REF!</definedName>
    <definedName name="เกณฑ์KPI7" localSheetId="15">#REF!</definedName>
    <definedName name="เกณฑ์KPI7" localSheetId="18">#REF!</definedName>
    <definedName name="เกณฑ์KPI7" localSheetId="19">#REF!</definedName>
    <definedName name="เกณฑ์KPI7" localSheetId="24">#REF!</definedName>
    <definedName name="เกณฑ์KPI7" localSheetId="25">#REF!</definedName>
    <definedName name="เกณฑ์KPI7" localSheetId="51">#REF!</definedName>
    <definedName name="เกณฑ์KPI7" localSheetId="52">#REF!</definedName>
    <definedName name="เกณฑ์KPI7" localSheetId="26">#REF!</definedName>
    <definedName name="เกณฑ์KPI7" localSheetId="27">#REF!</definedName>
    <definedName name="เกณฑ์KPI7" localSheetId="30">#REF!</definedName>
    <definedName name="เกณฑ์KPI7" localSheetId="31">#REF!</definedName>
    <definedName name="เกณฑ์KPI7" localSheetId="32">#REF!</definedName>
    <definedName name="เกณฑ์KPI7" localSheetId="33">#REF!</definedName>
    <definedName name="เกณฑ์KPI7" localSheetId="36">#REF!</definedName>
    <definedName name="เกณฑ์KPI7" localSheetId="37">#REF!</definedName>
    <definedName name="เกณฑ์KPI7" localSheetId="34">#REF!</definedName>
    <definedName name="เกณฑ์KPI7" localSheetId="35">#REF!</definedName>
    <definedName name="เกณฑ์KPI7" localSheetId="38">#REF!</definedName>
    <definedName name="เกณฑ์KPI7" localSheetId="39">#REF!</definedName>
    <definedName name="เกณฑ์KPI7" localSheetId="40">#REF!</definedName>
    <definedName name="เกณฑ์KPI7" localSheetId="41">#REF!</definedName>
    <definedName name="เกณฑ์KPI7" localSheetId="42">#REF!</definedName>
    <definedName name="เกณฑ์KPI7" localSheetId="43">#REF!</definedName>
    <definedName name="เกณฑ์KPI7" localSheetId="44">#REF!</definedName>
    <definedName name="เกณฑ์KPI7" localSheetId="45">#REF!</definedName>
    <definedName name="เกณฑ์KPI7" localSheetId="46">#REF!</definedName>
    <definedName name="เกณฑ์KPI7" localSheetId="47">#REF!</definedName>
    <definedName name="เกณฑ์KPI7" localSheetId="48">#REF!</definedName>
    <definedName name="เกณฑ์KPI7" localSheetId="49">#REF!</definedName>
    <definedName name="เกณฑ์KPI7" localSheetId="3">#REF!</definedName>
    <definedName name="เกณฑ์KPI7" localSheetId="61">#REF!</definedName>
    <definedName name="เกณฑ์KPI7">#REF!</definedName>
    <definedName name="เกณฑ์KPI8" localSheetId="7">#REF!</definedName>
    <definedName name="เกณฑ์KPI8" localSheetId="50">#REF!</definedName>
    <definedName name="เกณฑ์KPI8" localSheetId="8">#REF!</definedName>
    <definedName name="เกณฑ์KPI8" localSheetId="10">#REF!</definedName>
    <definedName name="เกณฑ์KPI8" localSheetId="14">#REF!</definedName>
    <definedName name="เกณฑ์KPI8" localSheetId="15">#REF!</definedName>
    <definedName name="เกณฑ์KPI8" localSheetId="18">#REF!</definedName>
    <definedName name="เกณฑ์KPI8" localSheetId="19">#REF!</definedName>
    <definedName name="เกณฑ์KPI8" localSheetId="24">#REF!</definedName>
    <definedName name="เกณฑ์KPI8" localSheetId="25">#REF!</definedName>
    <definedName name="เกณฑ์KPI8" localSheetId="51">#REF!</definedName>
    <definedName name="เกณฑ์KPI8" localSheetId="52">#REF!</definedName>
    <definedName name="เกณฑ์KPI8" localSheetId="26">#REF!</definedName>
    <definedName name="เกณฑ์KPI8" localSheetId="27">#REF!</definedName>
    <definedName name="เกณฑ์KPI8" localSheetId="30">#REF!</definedName>
    <definedName name="เกณฑ์KPI8" localSheetId="31">#REF!</definedName>
    <definedName name="เกณฑ์KPI8" localSheetId="32">#REF!</definedName>
    <definedName name="เกณฑ์KPI8" localSheetId="33">#REF!</definedName>
    <definedName name="เกณฑ์KPI8" localSheetId="36">#REF!</definedName>
    <definedName name="เกณฑ์KPI8" localSheetId="37">#REF!</definedName>
    <definedName name="เกณฑ์KPI8" localSheetId="34">#REF!</definedName>
    <definedName name="เกณฑ์KPI8" localSheetId="35">#REF!</definedName>
    <definedName name="เกณฑ์KPI8" localSheetId="38">#REF!</definedName>
    <definedName name="เกณฑ์KPI8" localSheetId="39">#REF!</definedName>
    <definedName name="เกณฑ์KPI8" localSheetId="40">#REF!</definedName>
    <definedName name="เกณฑ์KPI8" localSheetId="41">#REF!</definedName>
    <definedName name="เกณฑ์KPI8" localSheetId="42">#REF!</definedName>
    <definedName name="เกณฑ์KPI8" localSheetId="43">#REF!</definedName>
    <definedName name="เกณฑ์KPI8" localSheetId="44">#REF!</definedName>
    <definedName name="เกณฑ์KPI8" localSheetId="45">#REF!</definedName>
    <definedName name="เกณฑ์KPI8" localSheetId="46">#REF!</definedName>
    <definedName name="เกณฑ์KPI8" localSheetId="47">#REF!</definedName>
    <definedName name="เกณฑ์KPI8" localSheetId="48">#REF!</definedName>
    <definedName name="เกณฑ์KPI8" localSheetId="49">#REF!</definedName>
    <definedName name="เกณฑ์KPI8" localSheetId="3">#REF!</definedName>
    <definedName name="เกณฑ์KPI8" localSheetId="61">#REF!</definedName>
    <definedName name="เกณฑ์KPI8">#REF!</definedName>
    <definedName name="กลุ่มสาขา">ปก!$B$28:$B$30</definedName>
    <definedName name="คณะ">ปก!$B$7</definedName>
    <definedName name="คณะ_วิทยาลัย">ปก!$B$7</definedName>
    <definedName name="หน่วยงาน">ปก!$B$12:$B$22</definedName>
  </definedNames>
  <calcPr calcId="125725"/>
</workbook>
</file>

<file path=xl/calcChain.xml><?xml version="1.0" encoding="utf-8"?>
<calcChain xmlns="http://schemas.openxmlformats.org/spreadsheetml/2006/main">
  <c r="E7" i="88"/>
  <c r="C10" i="75"/>
  <c r="C8"/>
  <c r="O55"/>
  <c r="Q55" s="1"/>
  <c r="N40"/>
  <c r="M40"/>
  <c r="O40" s="1"/>
  <c r="M36"/>
  <c r="M35"/>
  <c r="N25"/>
  <c r="M25"/>
  <c r="O25" s="1"/>
  <c r="Q25" s="1"/>
  <c r="N24"/>
  <c r="M24"/>
  <c r="N23"/>
  <c r="M23"/>
  <c r="O23" s="1"/>
  <c r="P23" s="1"/>
  <c r="N22"/>
  <c r="M22"/>
  <c r="N14"/>
  <c r="N13"/>
  <c r="M13"/>
  <c r="O13" s="1"/>
  <c r="P13" s="1"/>
  <c r="C54"/>
  <c r="AB10" i="70"/>
  <c r="AA10"/>
  <c r="Z10"/>
  <c r="Y10"/>
  <c r="X10"/>
  <c r="W10"/>
  <c r="V10"/>
  <c r="U10"/>
  <c r="T10"/>
  <c r="Z10" i="69"/>
  <c r="Y10"/>
  <c r="X10"/>
  <c r="W10"/>
  <c r="V10"/>
  <c r="U10"/>
  <c r="T10"/>
  <c r="Y10" i="66"/>
  <c r="X10"/>
  <c r="W10"/>
  <c r="V10"/>
  <c r="U10"/>
  <c r="T10"/>
  <c r="X10" i="65"/>
  <c r="W10"/>
  <c r="V10"/>
  <c r="U10"/>
  <c r="T10"/>
  <c r="X10" i="64"/>
  <c r="W10"/>
  <c r="V10"/>
  <c r="U10"/>
  <c r="T10"/>
  <c r="Z10" i="63"/>
  <c r="Y10"/>
  <c r="X10"/>
  <c r="W10"/>
  <c r="V10"/>
  <c r="U10"/>
  <c r="T10"/>
  <c r="X10" i="62"/>
  <c r="W10"/>
  <c r="V10"/>
  <c r="U10"/>
  <c r="T10"/>
  <c r="X10" i="61"/>
  <c r="W10"/>
  <c r="V10"/>
  <c r="U10"/>
  <c r="T10"/>
  <c r="Y10" i="60"/>
  <c r="X10"/>
  <c r="W10"/>
  <c r="V10"/>
  <c r="U10"/>
  <c r="T10"/>
  <c r="X10" i="59"/>
  <c r="W10"/>
  <c r="V10"/>
  <c r="U10"/>
  <c r="T10"/>
  <c r="X10" i="58"/>
  <c r="W10"/>
  <c r="V10"/>
  <c r="U10"/>
  <c r="T10"/>
  <c r="X10" i="57"/>
  <c r="W10"/>
  <c r="V10"/>
  <c r="U10"/>
  <c r="T10"/>
  <c r="X10" i="55"/>
  <c r="W10"/>
  <c r="V10"/>
  <c r="U10"/>
  <c r="T10"/>
  <c r="X10" i="54"/>
  <c r="W10"/>
  <c r="V10"/>
  <c r="U10"/>
  <c r="T10"/>
  <c r="X10" i="51"/>
  <c r="W10"/>
  <c r="V10"/>
  <c r="U10"/>
  <c r="T10"/>
  <c r="AA10" i="50"/>
  <c r="Z10"/>
  <c r="Y10"/>
  <c r="X10"/>
  <c r="W10"/>
  <c r="V10"/>
  <c r="U10"/>
  <c r="T10"/>
  <c r="Y10" i="49"/>
  <c r="X10"/>
  <c r="W10"/>
  <c r="V10"/>
  <c r="U10"/>
  <c r="T10"/>
  <c r="Z10" i="48"/>
  <c r="Y10"/>
  <c r="X10"/>
  <c r="W10"/>
  <c r="V10"/>
  <c r="U10"/>
  <c r="T10"/>
  <c r="X10" i="46"/>
  <c r="W10"/>
  <c r="V10"/>
  <c r="U10"/>
  <c r="T10"/>
  <c r="X10" i="38"/>
  <c r="W10"/>
  <c r="V10"/>
  <c r="U10"/>
  <c r="T10"/>
  <c r="X10" i="39"/>
  <c r="W10"/>
  <c r="V10"/>
  <c r="U10"/>
  <c r="T10"/>
  <c r="S10"/>
  <c r="R10"/>
  <c r="X10" i="45"/>
  <c r="W10"/>
  <c r="V10"/>
  <c r="U10"/>
  <c r="T10"/>
  <c r="S10"/>
  <c r="R10"/>
  <c r="X10" i="44"/>
  <c r="W10"/>
  <c r="V10"/>
  <c r="U10"/>
  <c r="T10"/>
  <c r="S10"/>
  <c r="R10"/>
  <c r="Y10" i="33"/>
  <c r="X10"/>
  <c r="W10"/>
  <c r="V10"/>
  <c r="U10"/>
  <c r="T10"/>
  <c r="X10" i="43"/>
  <c r="H10" i="75" s="1"/>
  <c r="W10" i="43"/>
  <c r="G10" i="75" s="1"/>
  <c r="V10" i="43"/>
  <c r="F10" i="75" s="1"/>
  <c r="X10" i="42"/>
  <c r="H8" i="75" s="1"/>
  <c r="W10" i="42"/>
  <c r="G8" i="75" s="1"/>
  <c r="V10" i="42"/>
  <c r="F8" i="75" s="1"/>
  <c r="AA10" i="41"/>
  <c r="Z10"/>
  <c r="Y10"/>
  <c r="X10"/>
  <c r="W10"/>
  <c r="V10"/>
  <c r="U10"/>
  <c r="T10"/>
  <c r="R53" i="75"/>
  <c r="H12" i="68"/>
  <c r="S12"/>
  <c r="X10" i="72"/>
  <c r="W10"/>
  <c r="V10"/>
  <c r="U10"/>
  <c r="T10"/>
  <c r="X10" i="89"/>
  <c r="H68" i="75" s="1"/>
  <c r="W10" i="89"/>
  <c r="G68" i="75" s="1"/>
  <c r="V10" i="89"/>
  <c r="F68" i="75" s="1"/>
  <c r="U10" i="89"/>
  <c r="E68" i="75" s="1"/>
  <c r="T10" i="89"/>
  <c r="D68" i="75" s="1"/>
  <c r="V10" i="90"/>
  <c r="U10"/>
  <c r="E69" i="75" s="1"/>
  <c r="T10" i="90"/>
  <c r="B18"/>
  <c r="B17"/>
  <c r="B16"/>
  <c r="A4"/>
  <c r="A3"/>
  <c r="A2"/>
  <c r="A1"/>
  <c r="B24" i="89"/>
  <c r="B23"/>
  <c r="B22"/>
  <c r="B17"/>
  <c r="B16"/>
  <c r="C11"/>
  <c r="D11" s="1"/>
  <c r="A4"/>
  <c r="A3"/>
  <c r="A2"/>
  <c r="A1"/>
  <c r="C69" i="75"/>
  <c r="C68"/>
  <c r="H12" i="80"/>
  <c r="Q40" i="75" l="1"/>
  <c r="P25"/>
  <c r="O24"/>
  <c r="P24" s="1"/>
  <c r="Q23"/>
  <c r="O22"/>
  <c r="Q22" s="1"/>
  <c r="M68"/>
  <c r="O68" s="1"/>
  <c r="AC10" i="89"/>
  <c r="F69" i="75"/>
  <c r="AA10" i="90"/>
  <c r="D69" i="75"/>
  <c r="M69" s="1"/>
  <c r="C11" i="90"/>
  <c r="D11" s="1"/>
  <c r="R25" i="75"/>
  <c r="Q24" l="1"/>
  <c r="P22"/>
  <c r="P68"/>
  <c r="Q68"/>
  <c r="R68" s="1"/>
  <c r="O69"/>
  <c r="C64"/>
  <c r="C62"/>
  <c r="C61"/>
  <c r="C59"/>
  <c r="C50"/>
  <c r="C51"/>
  <c r="C52"/>
  <c r="C53"/>
  <c r="C55"/>
  <c r="P55" s="1"/>
  <c r="C49"/>
  <c r="C46"/>
  <c r="C47"/>
  <c r="C45"/>
  <c r="C39"/>
  <c r="C40"/>
  <c r="P40" s="1"/>
  <c r="C41"/>
  <c r="C42"/>
  <c r="C43"/>
  <c r="C38"/>
  <c r="C32"/>
  <c r="C33"/>
  <c r="C34"/>
  <c r="C35"/>
  <c r="C36"/>
  <c r="C31"/>
  <c r="C29"/>
  <c r="C28"/>
  <c r="C26"/>
  <c r="C21"/>
  <c r="C22"/>
  <c r="C23"/>
  <c r="C24"/>
  <c r="C25"/>
  <c r="C17"/>
  <c r="C18"/>
  <c r="C19"/>
  <c r="C20"/>
  <c r="C13"/>
  <c r="C14"/>
  <c r="C15"/>
  <c r="C16"/>
  <c r="C12"/>
  <c r="C9"/>
  <c r="C7"/>
  <c r="D2" i="88"/>
  <c r="D34" s="1"/>
  <c r="E21" i="52"/>
  <c r="F27"/>
  <c r="G27"/>
  <c r="E27"/>
  <c r="F22"/>
  <c r="G22"/>
  <c r="G21" s="1"/>
  <c r="E22"/>
  <c r="H31"/>
  <c r="H30"/>
  <c r="H29"/>
  <c r="H28"/>
  <c r="P69" i="75" l="1"/>
  <c r="Q69"/>
  <c r="D13" i="88"/>
  <c r="D15"/>
  <c r="D33"/>
  <c r="H27" i="52"/>
  <c r="F21"/>
  <c r="F11" i="87"/>
  <c r="F25" i="84"/>
  <c r="F26"/>
  <c r="F27"/>
  <c r="F28"/>
  <c r="F29"/>
  <c r="F30"/>
  <c r="F31"/>
  <c r="F32"/>
  <c r="F33"/>
  <c r="B35"/>
  <c r="C35"/>
  <c r="D35"/>
  <c r="E35"/>
  <c r="Q67" i="75" l="1"/>
  <c r="R67" s="1"/>
  <c r="R69"/>
  <c r="D14" i="88"/>
  <c r="J7"/>
  <c r="D16"/>
  <c r="C59" i="81"/>
  <c r="C52"/>
  <c r="C45"/>
  <c r="C44"/>
  <c r="C41"/>
  <c r="C40"/>
  <c r="C39"/>
  <c r="C38"/>
  <c r="C34"/>
  <c r="C33"/>
  <c r="C32"/>
  <c r="C24"/>
  <c r="C20"/>
  <c r="C19"/>
  <c r="C8"/>
  <c r="A4" i="83"/>
  <c r="A3"/>
  <c r="A2"/>
  <c r="A1"/>
  <c r="R23" i="56" l="1"/>
  <c r="R22"/>
  <c r="F21" s="1"/>
  <c r="F25" s="1"/>
  <c r="R21"/>
  <c r="E21" s="1"/>
  <c r="E25" s="1"/>
  <c r="S12" i="31"/>
  <c r="F12" i="80"/>
  <c r="Q12" i="24"/>
  <c r="D16" i="81"/>
  <c r="E16"/>
  <c r="F16"/>
  <c r="G16"/>
  <c r="H16"/>
  <c r="I16"/>
  <c r="J16"/>
  <c r="J26"/>
  <c r="Q25"/>
  <c r="I27"/>
  <c r="J29"/>
  <c r="O65"/>
  <c r="P65" s="1"/>
  <c r="M64"/>
  <c r="O64" s="1"/>
  <c r="P64" s="1"/>
  <c r="L58"/>
  <c r="H58"/>
  <c r="I50"/>
  <c r="H50"/>
  <c r="H49"/>
  <c r="G49"/>
  <c r="F49"/>
  <c r="E49"/>
  <c r="D49"/>
  <c r="H48"/>
  <c r="H44"/>
  <c r="I43"/>
  <c r="H40"/>
  <c r="H39"/>
  <c r="S2"/>
  <c r="S32" s="1"/>
  <c r="F11" i="26"/>
  <c r="A4" i="80"/>
  <c r="A4" i="24"/>
  <c r="A3" i="80"/>
  <c r="A3" i="24"/>
  <c r="A2" i="80"/>
  <c r="A2" i="24"/>
  <c r="A1" i="80"/>
  <c r="A1" i="24"/>
  <c r="S39" i="80"/>
  <c r="H39"/>
  <c r="I39" s="1"/>
  <c r="S38"/>
  <c r="I38"/>
  <c r="H38"/>
  <c r="S37"/>
  <c r="H37"/>
  <c r="I37" s="1"/>
  <c r="S31"/>
  <c r="H31"/>
  <c r="I31" s="1"/>
  <c r="S30"/>
  <c r="H30"/>
  <c r="I30" s="1"/>
  <c r="S29"/>
  <c r="H29"/>
  <c r="I29" s="1"/>
  <c r="S28"/>
  <c r="H28"/>
  <c r="I28" s="1"/>
  <c r="S27"/>
  <c r="H27"/>
  <c r="I27" s="1"/>
  <c r="S26"/>
  <c r="H26"/>
  <c r="I26" s="1"/>
  <c r="S25"/>
  <c r="H25"/>
  <c r="I25" s="1"/>
  <c r="S24"/>
  <c r="H24"/>
  <c r="T13" s="1"/>
  <c r="N23" i="81" s="1"/>
  <c r="G24" i="80"/>
  <c r="F24"/>
  <c r="E24"/>
  <c r="H23"/>
  <c r="F14"/>
  <c r="F13"/>
  <c r="M16" i="81" l="1"/>
  <c r="O16" s="1"/>
  <c r="P16" s="1"/>
  <c r="R24" i="75"/>
  <c r="T12" i="80"/>
  <c r="M23" i="81" s="1"/>
  <c r="O23" s="1"/>
  <c r="P23" s="1"/>
  <c r="F15" i="80"/>
  <c r="S31" i="81"/>
  <c r="M49"/>
  <c r="O49" s="1"/>
  <c r="P49" s="1"/>
  <c r="Q62"/>
  <c r="I24" i="80"/>
  <c r="T14" s="1"/>
  <c r="T15" l="1"/>
  <c r="V12" s="1"/>
  <c r="Q55" i="81"/>
  <c r="Q67"/>
  <c r="R67" s="1"/>
  <c r="F34" i="31"/>
  <c r="G21" i="56" l="1"/>
  <c r="G25" s="1"/>
  <c r="S2" i="75"/>
  <c r="S34" s="1"/>
  <c r="S33" l="1"/>
  <c r="A2" i="39"/>
  <c r="A1" i="40" l="1"/>
  <c r="A1" i="72"/>
  <c r="A1" i="71"/>
  <c r="A1" i="56"/>
  <c r="A1" i="53"/>
  <c r="A1" i="52"/>
  <c r="A1" i="31"/>
  <c r="A1" i="9"/>
  <c r="A1" i="28"/>
  <c r="A1" i="38"/>
  <c r="A1" i="39"/>
  <c r="A1" i="34"/>
  <c r="A1" i="33"/>
  <c r="A1" i="35"/>
  <c r="A1" i="70" l="1"/>
  <c r="A1" i="69"/>
  <c r="A1" i="68"/>
  <c r="A1" i="67"/>
  <c r="A1" i="66"/>
  <c r="A1" i="65"/>
  <c r="A1" i="64"/>
  <c r="A1" i="63"/>
  <c r="A1" i="62"/>
  <c r="A1" i="61"/>
  <c r="A1" i="60"/>
  <c r="A1" i="59"/>
  <c r="A1" i="58"/>
  <c r="A1" i="57"/>
  <c r="A1" i="55"/>
  <c r="A1" i="54"/>
  <c r="A1" i="51"/>
  <c r="A1" i="50"/>
  <c r="A1" i="49"/>
  <c r="A1" i="48"/>
  <c r="A1" i="30"/>
  <c r="A1" i="47"/>
  <c r="A1" i="46"/>
  <c r="A1" i="45"/>
  <c r="A1" i="44"/>
  <c r="A1" i="43"/>
  <c r="A1" i="42"/>
  <c r="A2"/>
  <c r="O66" i="75" l="1"/>
  <c r="P66" s="1"/>
  <c r="M65"/>
  <c r="O65" s="1"/>
  <c r="P65" s="1"/>
  <c r="B24" i="72"/>
  <c r="B23"/>
  <c r="B22"/>
  <c r="B17"/>
  <c r="B16"/>
  <c r="A4"/>
  <c r="A3"/>
  <c r="A3" i="88" s="1"/>
  <c r="A2" i="72"/>
  <c r="A2" i="88" s="1"/>
  <c r="H19" i="68"/>
  <c r="Q12" s="1"/>
  <c r="O52" i="81" s="1"/>
  <c r="H19" i="67"/>
  <c r="A4" i="71"/>
  <c r="A3"/>
  <c r="A2"/>
  <c r="B32" i="70"/>
  <c r="L61" i="75" s="1"/>
  <c r="B31" i="70"/>
  <c r="B30"/>
  <c r="B29"/>
  <c r="B28"/>
  <c r="B23"/>
  <c r="B22"/>
  <c r="B17"/>
  <c r="B16"/>
  <c r="H61" i="75"/>
  <c r="A4" i="70"/>
  <c r="A3"/>
  <c r="A2"/>
  <c r="B30" i="69"/>
  <c r="B29"/>
  <c r="B28"/>
  <c r="B23"/>
  <c r="B22"/>
  <c r="B17"/>
  <c r="B16"/>
  <c r="A4"/>
  <c r="A3"/>
  <c r="A2"/>
  <c r="F12" i="68"/>
  <c r="R55" i="75" s="1"/>
  <c r="A4" i="68"/>
  <c r="A3"/>
  <c r="A2"/>
  <c r="F12" i="67"/>
  <c r="A4"/>
  <c r="A3"/>
  <c r="A2"/>
  <c r="B29" i="66"/>
  <c r="I52" i="75" s="1"/>
  <c r="B28" i="66"/>
  <c r="H52" i="75" s="1"/>
  <c r="B23" i="66"/>
  <c r="B22"/>
  <c r="B17"/>
  <c r="B16"/>
  <c r="A4"/>
  <c r="A3"/>
  <c r="A2"/>
  <c r="B24" i="65"/>
  <c r="H51" i="75" s="1"/>
  <c r="B23" i="65"/>
  <c r="B22"/>
  <c r="F51" i="75" s="1"/>
  <c r="B17" i="65"/>
  <c r="B16"/>
  <c r="G51" i="75"/>
  <c r="E51"/>
  <c r="D51"/>
  <c r="A4" i="65"/>
  <c r="A3"/>
  <c r="A2"/>
  <c r="B24" i="64"/>
  <c r="H50" i="75" s="1"/>
  <c r="B23" i="64"/>
  <c r="B22"/>
  <c r="B17"/>
  <c r="B16"/>
  <c r="A4"/>
  <c r="A3"/>
  <c r="A2"/>
  <c r="B30" i="63"/>
  <c r="B29"/>
  <c r="B28"/>
  <c r="B23"/>
  <c r="B22"/>
  <c r="B17"/>
  <c r="B16"/>
  <c r="A4"/>
  <c r="A3"/>
  <c r="A2"/>
  <c r="B24" i="62"/>
  <c r="B23"/>
  <c r="B22"/>
  <c r="B17"/>
  <c r="B16"/>
  <c r="A4"/>
  <c r="A3"/>
  <c r="A2"/>
  <c r="B24" i="61"/>
  <c r="B23"/>
  <c r="B22"/>
  <c r="B17"/>
  <c r="B16"/>
  <c r="H46" i="75"/>
  <c r="A4" i="61"/>
  <c r="A3"/>
  <c r="A2"/>
  <c r="B29" i="60"/>
  <c r="I45" i="75" s="1"/>
  <c r="B28" i="60"/>
  <c r="B23"/>
  <c r="B22"/>
  <c r="B17"/>
  <c r="B16"/>
  <c r="A4"/>
  <c r="A3"/>
  <c r="A2"/>
  <c r="B24" i="59"/>
  <c r="B23"/>
  <c r="B18"/>
  <c r="B17"/>
  <c r="B16"/>
  <c r="C11" s="1"/>
  <c r="D11" s="1"/>
  <c r="A4"/>
  <c r="A3"/>
  <c r="A2"/>
  <c r="B24" i="58"/>
  <c r="B23"/>
  <c r="B18"/>
  <c r="B17"/>
  <c r="B16"/>
  <c r="H42" i="75"/>
  <c r="A4" i="58"/>
  <c r="A3"/>
  <c r="A2"/>
  <c r="B24" i="57"/>
  <c r="B23"/>
  <c r="B18"/>
  <c r="B17"/>
  <c r="B16"/>
  <c r="H41" i="75"/>
  <c r="A4" i="57"/>
  <c r="A3"/>
  <c r="A2"/>
  <c r="F12" i="56"/>
  <c r="F13"/>
  <c r="F14" s="1"/>
  <c r="H24"/>
  <c r="H23"/>
  <c r="H22"/>
  <c r="H20"/>
  <c r="S12" s="1"/>
  <c r="N38" i="81" s="1"/>
  <c r="A4" i="56"/>
  <c r="A3"/>
  <c r="A2"/>
  <c r="B24" i="55"/>
  <c r="B23"/>
  <c r="B18"/>
  <c r="B17"/>
  <c r="B16"/>
  <c r="A4"/>
  <c r="A3"/>
  <c r="A2"/>
  <c r="B24" i="54"/>
  <c r="B23"/>
  <c r="B18"/>
  <c r="B17"/>
  <c r="B16"/>
  <c r="A4"/>
  <c r="A3"/>
  <c r="A2"/>
  <c r="E20" i="53"/>
  <c r="F30"/>
  <c r="G30"/>
  <c r="F13" s="1"/>
  <c r="E30"/>
  <c r="F20"/>
  <c r="G20"/>
  <c r="F12" s="1"/>
  <c r="N36" i="75" s="1"/>
  <c r="O36" s="1"/>
  <c r="G20" i="52"/>
  <c r="F12" s="1"/>
  <c r="N35" i="75" s="1"/>
  <c r="O35" s="1"/>
  <c r="F20" i="52"/>
  <c r="E20"/>
  <c r="H29" i="53"/>
  <c r="I29" s="1"/>
  <c r="H28"/>
  <c r="I28" s="1"/>
  <c r="H27"/>
  <c r="I27" s="1"/>
  <c r="H26"/>
  <c r="I26" s="1"/>
  <c r="H25"/>
  <c r="I25" s="1"/>
  <c r="H24"/>
  <c r="I24" s="1"/>
  <c r="H23"/>
  <c r="I23" s="1"/>
  <c r="H22"/>
  <c r="G21"/>
  <c r="F21"/>
  <c r="E21"/>
  <c r="A4"/>
  <c r="A3"/>
  <c r="A2"/>
  <c r="H26" i="52"/>
  <c r="H25"/>
  <c r="H24"/>
  <c r="H23"/>
  <c r="A4"/>
  <c r="A3"/>
  <c r="A2"/>
  <c r="B24" i="51"/>
  <c r="B23"/>
  <c r="B18"/>
  <c r="B17"/>
  <c r="B16"/>
  <c r="A4"/>
  <c r="A3"/>
  <c r="A2"/>
  <c r="B31" i="50"/>
  <c r="B30"/>
  <c r="B29"/>
  <c r="B28"/>
  <c r="B23"/>
  <c r="B22"/>
  <c r="B17"/>
  <c r="B16"/>
  <c r="J31" i="75"/>
  <c r="A4" i="50"/>
  <c r="A3"/>
  <c r="A2"/>
  <c r="Q36" i="75" l="1"/>
  <c r="P36"/>
  <c r="P35"/>
  <c r="Q35"/>
  <c r="O53"/>
  <c r="P53" s="1"/>
  <c r="O54"/>
  <c r="O51" i="81"/>
  <c r="P51" s="1"/>
  <c r="M51" i="75"/>
  <c r="C11" i="55"/>
  <c r="D11" s="1"/>
  <c r="H22" i="52"/>
  <c r="H21" s="1"/>
  <c r="G41" i="75"/>
  <c r="G39" i="81"/>
  <c r="F41" i="75"/>
  <c r="F39" i="81"/>
  <c r="I61" i="75"/>
  <c r="I58" i="81"/>
  <c r="G50" i="75"/>
  <c r="G48" i="81"/>
  <c r="I49" i="75"/>
  <c r="I47" i="81"/>
  <c r="C11" i="51"/>
  <c r="D11" s="1"/>
  <c r="O51" i="75"/>
  <c r="H43"/>
  <c r="H41" i="81"/>
  <c r="G43" i="75"/>
  <c r="G41" i="81"/>
  <c r="F43" i="75"/>
  <c r="F41" i="81"/>
  <c r="E43" i="75"/>
  <c r="E41" i="81"/>
  <c r="F42" i="75"/>
  <c r="F40" i="81"/>
  <c r="E42" i="75"/>
  <c r="E40" i="81"/>
  <c r="D42" i="75"/>
  <c r="D40" i="81"/>
  <c r="E41" i="75"/>
  <c r="E39" i="81"/>
  <c r="D41" i="75"/>
  <c r="D39" i="81"/>
  <c r="H39" i="75"/>
  <c r="H37" i="81"/>
  <c r="G39" i="75"/>
  <c r="G37" i="81"/>
  <c r="F39" i="75"/>
  <c r="F37" i="81"/>
  <c r="E39" i="75"/>
  <c r="E37" i="81"/>
  <c r="D39" i="75"/>
  <c r="D37" i="81"/>
  <c r="M37" s="1"/>
  <c r="O37" s="1"/>
  <c r="P37" s="1"/>
  <c r="H38" i="75"/>
  <c r="H36" i="81"/>
  <c r="G38" i="75"/>
  <c r="G36" i="81"/>
  <c r="F38" i="75"/>
  <c r="F36" i="81"/>
  <c r="E38" i="75"/>
  <c r="E36" i="81"/>
  <c r="D38" i="75"/>
  <c r="M38" s="1"/>
  <c r="D36" i="81"/>
  <c r="M36" s="1"/>
  <c r="O36" s="1"/>
  <c r="P36" s="1"/>
  <c r="F32" i="75"/>
  <c r="F30" i="81"/>
  <c r="E32" i="75"/>
  <c r="E30" i="81"/>
  <c r="H47" i="75"/>
  <c r="H45" i="81"/>
  <c r="G47" i="75"/>
  <c r="G45" i="81"/>
  <c r="F47" i="75"/>
  <c r="F45" i="81"/>
  <c r="E47" i="75"/>
  <c r="E45" i="81"/>
  <c r="D47" i="75"/>
  <c r="D45" i="81"/>
  <c r="M45" s="1"/>
  <c r="O45" s="1"/>
  <c r="G46" i="75"/>
  <c r="G44" i="81"/>
  <c r="F46" i="75"/>
  <c r="F44" i="81"/>
  <c r="E46" i="75"/>
  <c r="E44" i="81"/>
  <c r="D46" i="75"/>
  <c r="M46" s="1"/>
  <c r="D44" i="81"/>
  <c r="M44" s="1"/>
  <c r="O44" s="1"/>
  <c r="H45" i="75"/>
  <c r="H43" i="81"/>
  <c r="F45" i="75"/>
  <c r="F43" i="81"/>
  <c r="G45" i="75"/>
  <c r="G43" i="81"/>
  <c r="E45" i="75"/>
  <c r="E43" i="81"/>
  <c r="D45" i="75"/>
  <c r="M45" s="1"/>
  <c r="D43" i="81"/>
  <c r="M43" s="1"/>
  <c r="O43" s="1"/>
  <c r="P43" s="1"/>
  <c r="K61" i="75"/>
  <c r="K58" i="81"/>
  <c r="J61" i="75"/>
  <c r="J58" i="81"/>
  <c r="G61" i="75"/>
  <c r="G58" i="81"/>
  <c r="F61" i="75"/>
  <c r="F58" i="81"/>
  <c r="E61" i="75"/>
  <c r="E58" i="81"/>
  <c r="D61" i="75"/>
  <c r="M61" s="1"/>
  <c r="D58" i="81"/>
  <c r="J59" i="75"/>
  <c r="J56" i="81"/>
  <c r="I59" i="75"/>
  <c r="I56" i="81"/>
  <c r="H59" i="75"/>
  <c r="H56" i="81"/>
  <c r="G59" i="75"/>
  <c r="G56" i="81"/>
  <c r="F59" i="75"/>
  <c r="F56" i="81"/>
  <c r="E59" i="75"/>
  <c r="E56" i="81"/>
  <c r="Q52"/>
  <c r="Q46" s="1"/>
  <c r="P52"/>
  <c r="E52" i="75"/>
  <c r="E50" i="81"/>
  <c r="G52" i="75"/>
  <c r="G50" i="81"/>
  <c r="F52" i="75"/>
  <c r="F50" i="81"/>
  <c r="D52" i="75"/>
  <c r="M52" s="1"/>
  <c r="D50" i="81"/>
  <c r="M50" s="1"/>
  <c r="O50" s="1"/>
  <c r="P50" s="1"/>
  <c r="F50" i="75"/>
  <c r="F48" i="81"/>
  <c r="E50" i="75"/>
  <c r="E48" i="81"/>
  <c r="D50" i="75"/>
  <c r="M50" s="1"/>
  <c r="D48" i="81"/>
  <c r="J49" i="75"/>
  <c r="J47" i="81"/>
  <c r="H49" i="75"/>
  <c r="H47" i="81"/>
  <c r="G49" i="75"/>
  <c r="G47" i="81"/>
  <c r="F49" i="75"/>
  <c r="F47" i="81"/>
  <c r="E49" i="75"/>
  <c r="E47" i="81"/>
  <c r="D49" i="75"/>
  <c r="M49" s="1"/>
  <c r="D47" i="81"/>
  <c r="O52" i="75"/>
  <c r="Q52" s="1"/>
  <c r="A3"/>
  <c r="A3" i="81"/>
  <c r="H64" i="75"/>
  <c r="H63" i="81"/>
  <c r="G64" i="75"/>
  <c r="G63" i="81"/>
  <c r="F64" i="75"/>
  <c r="F63" i="81"/>
  <c r="E64" i="75"/>
  <c r="E63" i="81"/>
  <c r="D64" i="75"/>
  <c r="M64" s="1"/>
  <c r="D63" i="81"/>
  <c r="H32" i="75"/>
  <c r="H30" i="81"/>
  <c r="G32" i="75"/>
  <c r="G30" i="81"/>
  <c r="D32" i="75"/>
  <c r="M32" s="1"/>
  <c r="D30" i="81"/>
  <c r="K31" i="75"/>
  <c r="K29" i="81"/>
  <c r="I31" i="75"/>
  <c r="I29" i="81"/>
  <c r="G31" i="75"/>
  <c r="G29" i="81"/>
  <c r="F31" i="75"/>
  <c r="F29" i="81"/>
  <c r="E31" i="75"/>
  <c r="E29" i="81"/>
  <c r="D31" i="75"/>
  <c r="D29" i="81"/>
  <c r="A2" i="75"/>
  <c r="A2" i="81"/>
  <c r="R24" i="56"/>
  <c r="H21" s="1"/>
  <c r="S13" s="1"/>
  <c r="H12"/>
  <c r="F31" i="53"/>
  <c r="C11" i="66"/>
  <c r="D11" s="1"/>
  <c r="H12" i="67"/>
  <c r="C11" i="72"/>
  <c r="D11" s="1"/>
  <c r="C11" i="69"/>
  <c r="D11" s="1"/>
  <c r="C11" i="54"/>
  <c r="D11" s="1"/>
  <c r="C11" i="58"/>
  <c r="D11" s="1"/>
  <c r="C11" i="61"/>
  <c r="D11" s="1"/>
  <c r="C11" i="62"/>
  <c r="D11" s="1"/>
  <c r="C11" i="65"/>
  <c r="D11" s="1"/>
  <c r="G32" i="52"/>
  <c r="H20"/>
  <c r="Q12" s="1"/>
  <c r="C11" i="64"/>
  <c r="D11" s="1"/>
  <c r="AC10" i="65"/>
  <c r="AC10" i="55"/>
  <c r="AC10" i="72"/>
  <c r="C11" i="70"/>
  <c r="D11" s="1"/>
  <c r="AC10"/>
  <c r="C11" i="57"/>
  <c r="D11" s="1"/>
  <c r="AC10"/>
  <c r="AC10" i="54"/>
  <c r="C11" i="63"/>
  <c r="D11" s="1"/>
  <c r="C11" i="60"/>
  <c r="D11" s="1"/>
  <c r="AC10" i="51"/>
  <c r="F32" i="52"/>
  <c r="AC10" i="66"/>
  <c r="AC10" i="64"/>
  <c r="AC10" i="63"/>
  <c r="AC10" i="62"/>
  <c r="AC10" i="61"/>
  <c r="AC10" i="60"/>
  <c r="H30" i="53"/>
  <c r="F14"/>
  <c r="H12" s="1"/>
  <c r="G31"/>
  <c r="E31"/>
  <c r="H21"/>
  <c r="H20"/>
  <c r="Q12" s="1"/>
  <c r="N34" i="81" s="1"/>
  <c r="I22" i="53"/>
  <c r="I21" s="1"/>
  <c r="Q13" s="1"/>
  <c r="M34" i="81" s="1"/>
  <c r="Q13" i="52"/>
  <c r="M33" i="81" s="1"/>
  <c r="F13" i="52"/>
  <c r="E32"/>
  <c r="C11" i="50"/>
  <c r="G11"/>
  <c r="D11" s="1"/>
  <c r="Q54" i="75" l="1"/>
  <c r="P54"/>
  <c r="M39"/>
  <c r="O39" s="1"/>
  <c r="M47"/>
  <c r="O47" s="1"/>
  <c r="P51"/>
  <c r="Q51"/>
  <c r="R51" s="1"/>
  <c r="P52"/>
  <c r="R52"/>
  <c r="M47" i="81"/>
  <c r="O47" s="1"/>
  <c r="P47" s="1"/>
  <c r="M30"/>
  <c r="O30" s="1"/>
  <c r="P30" s="1"/>
  <c r="M63"/>
  <c r="O63" s="1"/>
  <c r="P63" s="1"/>
  <c r="M41" i="75"/>
  <c r="O41" s="1"/>
  <c r="Q41" s="1"/>
  <c r="R41" s="1"/>
  <c r="O49"/>
  <c r="O61"/>
  <c r="F2" i="82"/>
  <c r="A2" i="84"/>
  <c r="A2" i="85" s="1"/>
  <c r="A2" i="86" s="1"/>
  <c r="A2" i="87" s="1"/>
  <c r="O46" i="75"/>
  <c r="O50"/>
  <c r="O45"/>
  <c r="O64"/>
  <c r="M39" i="81"/>
  <c r="O39" s="1"/>
  <c r="Q39" s="1"/>
  <c r="O34"/>
  <c r="M58"/>
  <c r="O58" s="1"/>
  <c r="P58" s="1"/>
  <c r="D7" i="85"/>
  <c r="D12" i="84"/>
  <c r="M48" i="81"/>
  <c r="O48" s="1"/>
  <c r="P48" s="1"/>
  <c r="D59" i="75"/>
  <c r="D56" i="81"/>
  <c r="M56" s="1"/>
  <c r="O56" s="1"/>
  <c r="P56" s="1"/>
  <c r="O38" i="75"/>
  <c r="D43"/>
  <c r="D41" i="81"/>
  <c r="M41" s="1"/>
  <c r="O41" s="1"/>
  <c r="Q41" s="1"/>
  <c r="AC10" i="59"/>
  <c r="G42" i="75"/>
  <c r="G40" i="81"/>
  <c r="M40" s="1"/>
  <c r="O40" s="1"/>
  <c r="Q40" s="1"/>
  <c r="P39"/>
  <c r="S14" i="56"/>
  <c r="U12" s="1"/>
  <c r="M38" i="81"/>
  <c r="O38" s="1"/>
  <c r="Q38" s="1"/>
  <c r="Q35" s="1"/>
  <c r="O32" i="75"/>
  <c r="P45" i="81"/>
  <c r="Q45"/>
  <c r="Q44"/>
  <c r="P44"/>
  <c r="H31" i="75"/>
  <c r="M31" s="1"/>
  <c r="H29" i="81"/>
  <c r="M29" s="1"/>
  <c r="O29" s="1"/>
  <c r="P29" s="1"/>
  <c r="Q14" i="53"/>
  <c r="S12" s="1"/>
  <c r="N33" i="81"/>
  <c r="O33" s="1"/>
  <c r="P33" s="1"/>
  <c r="Q14" i="52"/>
  <c r="S12" s="1"/>
  <c r="Q34" i="81"/>
  <c r="P34"/>
  <c r="P41" i="75"/>
  <c r="AC10" i="50"/>
  <c r="AC10" i="58"/>
  <c r="F14" i="52"/>
  <c r="H12" s="1"/>
  <c r="R35" i="75"/>
  <c r="H32" i="52"/>
  <c r="AC10" i="69"/>
  <c r="H31" i="53"/>
  <c r="Q39" i="75" l="1"/>
  <c r="R39" s="1"/>
  <c r="P39"/>
  <c r="P32"/>
  <c r="Q32"/>
  <c r="R32" s="1"/>
  <c r="M43"/>
  <c r="O43" s="1"/>
  <c r="P38"/>
  <c r="Q38"/>
  <c r="R38" s="1"/>
  <c r="Q45"/>
  <c r="E15" i="87" s="1"/>
  <c r="F15" s="1"/>
  <c r="P45" i="75"/>
  <c r="R46"/>
  <c r="Q46"/>
  <c r="P46"/>
  <c r="M42"/>
  <c r="O42" s="1"/>
  <c r="Q47"/>
  <c r="R47" s="1"/>
  <c r="P47"/>
  <c r="P49"/>
  <c r="Q49"/>
  <c r="Q50"/>
  <c r="R50" s="1"/>
  <c r="P50"/>
  <c r="M59"/>
  <c r="O59" s="1"/>
  <c r="P61"/>
  <c r="Q61"/>
  <c r="Q64"/>
  <c r="R64" s="1"/>
  <c r="P64"/>
  <c r="R40"/>
  <c r="Q63"/>
  <c r="R63" s="1"/>
  <c r="R36"/>
  <c r="Q33" i="81"/>
  <c r="D11" i="84"/>
  <c r="C14" i="87"/>
  <c r="C10" i="84"/>
  <c r="O31" i="75"/>
  <c r="P38" i="81"/>
  <c r="P41"/>
  <c r="P40"/>
  <c r="Q42"/>
  <c r="B29" i="49"/>
  <c r="I29" i="75" s="1"/>
  <c r="B28" i="49"/>
  <c r="B23"/>
  <c r="B22"/>
  <c r="B17"/>
  <c r="B16"/>
  <c r="C11"/>
  <c r="D11" s="1"/>
  <c r="A4"/>
  <c r="A3"/>
  <c r="A2"/>
  <c r="B30" i="48"/>
  <c r="J28" i="75" s="1"/>
  <c r="B29" i="48"/>
  <c r="B28"/>
  <c r="B23"/>
  <c r="B22"/>
  <c r="B17"/>
  <c r="B16"/>
  <c r="A4"/>
  <c r="A3"/>
  <c r="A2"/>
  <c r="F11" i="30"/>
  <c r="U41"/>
  <c r="U40"/>
  <c r="U39"/>
  <c r="U38"/>
  <c r="U37"/>
  <c r="U36"/>
  <c r="U35"/>
  <c r="U34"/>
  <c r="U33"/>
  <c r="U27"/>
  <c r="U26"/>
  <c r="U25"/>
  <c r="U24"/>
  <c r="E24" i="24"/>
  <c r="F24"/>
  <c r="G24"/>
  <c r="H25"/>
  <c r="H26"/>
  <c r="H27"/>
  <c r="E28"/>
  <c r="F28"/>
  <c r="G28"/>
  <c r="F13" s="1"/>
  <c r="H29"/>
  <c r="H30"/>
  <c r="H31"/>
  <c r="E32"/>
  <c r="F32"/>
  <c r="F36" s="1"/>
  <c r="G32"/>
  <c r="H33"/>
  <c r="G39"/>
  <c r="F39"/>
  <c r="E39"/>
  <c r="G38"/>
  <c r="F38"/>
  <c r="E38"/>
  <c r="G37"/>
  <c r="F37"/>
  <c r="E37"/>
  <c r="H35"/>
  <c r="H39" s="1"/>
  <c r="H34"/>
  <c r="H37"/>
  <c r="F13" i="47"/>
  <c r="F12"/>
  <c r="F33"/>
  <c r="G33"/>
  <c r="E33"/>
  <c r="E32"/>
  <c r="H31"/>
  <c r="H30"/>
  <c r="H28"/>
  <c r="H27"/>
  <c r="H26"/>
  <c r="H24"/>
  <c r="G32"/>
  <c r="F32"/>
  <c r="A4"/>
  <c r="A3"/>
  <c r="A2"/>
  <c r="B24" i="46"/>
  <c r="H21" i="75" s="1"/>
  <c r="B23" i="46"/>
  <c r="G21" i="75" s="1"/>
  <c r="B18" i="46"/>
  <c r="F21" i="75" s="1"/>
  <c r="B17" i="46"/>
  <c r="E21" i="75" s="1"/>
  <c r="B16" i="46"/>
  <c r="D21" i="75" s="1"/>
  <c r="A4" i="46"/>
  <c r="A3"/>
  <c r="A2"/>
  <c r="B26" i="45"/>
  <c r="J18" i="75" s="1"/>
  <c r="B25" i="45"/>
  <c r="B24"/>
  <c r="H18" i="75" s="1"/>
  <c r="B23" i="45"/>
  <c r="G18" i="75" s="1"/>
  <c r="B18" i="45"/>
  <c r="F18" i="75" s="1"/>
  <c r="B17" i="45"/>
  <c r="E18" i="75" s="1"/>
  <c r="B16" i="45"/>
  <c r="A4"/>
  <c r="A3"/>
  <c r="A2"/>
  <c r="B26" i="44"/>
  <c r="B25"/>
  <c r="B24"/>
  <c r="B23"/>
  <c r="B18"/>
  <c r="B17"/>
  <c r="B16"/>
  <c r="A4"/>
  <c r="A3"/>
  <c r="A2"/>
  <c r="B24" i="43"/>
  <c r="B23"/>
  <c r="B22"/>
  <c r="B17"/>
  <c r="U10" s="1"/>
  <c r="E10" i="75" s="1"/>
  <c r="B16" i="43"/>
  <c r="T10" s="1"/>
  <c r="D10" i="75" s="1"/>
  <c r="A4" i="43"/>
  <c r="A3"/>
  <c r="A2"/>
  <c r="G26" i="26"/>
  <c r="F26"/>
  <c r="E26"/>
  <c r="B24" i="42"/>
  <c r="B23"/>
  <c r="B22"/>
  <c r="B17"/>
  <c r="U10" s="1"/>
  <c r="E8" i="75" s="1"/>
  <c r="B16" i="42"/>
  <c r="T10" s="1"/>
  <c r="D8" i="75" s="1"/>
  <c r="A4" i="42"/>
  <c r="A3"/>
  <c r="B31" i="41"/>
  <c r="B30"/>
  <c r="D15" i="87" l="1"/>
  <c r="M21" i="75"/>
  <c r="O21" s="1"/>
  <c r="M10"/>
  <c r="O10" s="1"/>
  <c r="P10" s="1"/>
  <c r="M8"/>
  <c r="O8" s="1"/>
  <c r="P8" s="1"/>
  <c r="P42"/>
  <c r="Q42"/>
  <c r="R42" s="1"/>
  <c r="P43"/>
  <c r="Q43"/>
  <c r="R43" s="1"/>
  <c r="Q31"/>
  <c r="C13" i="87" s="1"/>
  <c r="P31" i="75"/>
  <c r="P59"/>
  <c r="Q59"/>
  <c r="E8" i="87" s="1"/>
  <c r="F8" s="1"/>
  <c r="C14" i="84"/>
  <c r="R61" i="75"/>
  <c r="C9" i="85"/>
  <c r="C12" i="84"/>
  <c r="R49" i="75"/>
  <c r="C15" i="87"/>
  <c r="R45" i="75"/>
  <c r="C17" i="84"/>
  <c r="E12"/>
  <c r="F12" s="1"/>
  <c r="Q44" i="75"/>
  <c r="R44" s="1"/>
  <c r="C7" i="86"/>
  <c r="Q48" i="75"/>
  <c r="R48" s="1"/>
  <c r="E17" i="84"/>
  <c r="F17" s="1"/>
  <c r="E11"/>
  <c r="F11" s="1"/>
  <c r="E13"/>
  <c r="F13" s="1"/>
  <c r="C11"/>
  <c r="I18" i="75"/>
  <c r="D14" i="87"/>
  <c r="D10" i="84"/>
  <c r="E10"/>
  <c r="F10" s="1"/>
  <c r="E14" i="87"/>
  <c r="F14" s="1"/>
  <c r="K7" i="75"/>
  <c r="K7" i="81"/>
  <c r="J7" i="75"/>
  <c r="J7" i="81"/>
  <c r="R22" i="75"/>
  <c r="F14" i="47"/>
  <c r="H12" s="1"/>
  <c r="Q37" i="75"/>
  <c r="R37" s="1"/>
  <c r="H38" i="24"/>
  <c r="H29" i="75"/>
  <c r="H27" i="81"/>
  <c r="G29" i="75"/>
  <c r="G27" i="81"/>
  <c r="F29" i="75"/>
  <c r="F27" i="81"/>
  <c r="E29" i="75"/>
  <c r="E27" i="81"/>
  <c r="D29" i="75"/>
  <c r="M29" s="1"/>
  <c r="D27" i="81"/>
  <c r="M27" s="1"/>
  <c r="O27" s="1"/>
  <c r="P27" s="1"/>
  <c r="I28" i="75"/>
  <c r="I26" i="81"/>
  <c r="H28" i="75"/>
  <c r="H26" i="81"/>
  <c r="G28" i="75"/>
  <c r="G26" i="81"/>
  <c r="F28" i="75"/>
  <c r="F26" i="81"/>
  <c r="D28" i="75"/>
  <c r="D26" i="81"/>
  <c r="J17" i="75"/>
  <c r="J15" i="81"/>
  <c r="I17" i="75"/>
  <c r="I15" i="81"/>
  <c r="H17" i="75"/>
  <c r="H15" i="81"/>
  <c r="G17" i="75"/>
  <c r="G15" i="81"/>
  <c r="F17" i="75"/>
  <c r="F15" i="81"/>
  <c r="E17" i="75"/>
  <c r="E15" i="81"/>
  <c r="D17" i="75"/>
  <c r="M17" s="1"/>
  <c r="D15" i="81"/>
  <c r="M15" s="1"/>
  <c r="O15" s="1"/>
  <c r="P15" s="1"/>
  <c r="C11" i="45"/>
  <c r="D11" s="1"/>
  <c r="H32" i="24"/>
  <c r="Q14" s="1"/>
  <c r="M20" i="81" s="1"/>
  <c r="H24" i="24"/>
  <c r="U23" i="30"/>
  <c r="F12" s="1"/>
  <c r="AC10" i="49"/>
  <c r="C11" i="48"/>
  <c r="D11" s="1"/>
  <c r="AC10" i="46"/>
  <c r="AC10" i="43"/>
  <c r="C11"/>
  <c r="D11" s="1"/>
  <c r="C11" i="46"/>
  <c r="D11" s="1"/>
  <c r="C11" i="44"/>
  <c r="D11" s="1"/>
  <c r="AA10"/>
  <c r="C11" i="42"/>
  <c r="D11" s="1"/>
  <c r="AC10"/>
  <c r="F14" i="24"/>
  <c r="R23" i="75" s="1"/>
  <c r="F12" i="24"/>
  <c r="G36"/>
  <c r="F15" s="1"/>
  <c r="H28"/>
  <c r="Q13" s="1"/>
  <c r="N20" i="81" s="1"/>
  <c r="E36" i="24"/>
  <c r="H29" i="47"/>
  <c r="Q12" s="1"/>
  <c r="H25"/>
  <c r="Q13" s="1"/>
  <c r="M19" i="81" s="1"/>
  <c r="H23" i="47"/>
  <c r="H32" s="1"/>
  <c r="C8" i="87" l="1"/>
  <c r="C13" i="84"/>
  <c r="Q10" i="75"/>
  <c r="R10" s="1"/>
  <c r="Q8"/>
  <c r="R8" s="1"/>
  <c r="R59"/>
  <c r="P21"/>
  <c r="Q21"/>
  <c r="Q58"/>
  <c r="R58" s="1"/>
  <c r="C9" i="84"/>
  <c r="R31" i="75"/>
  <c r="R21"/>
  <c r="O29"/>
  <c r="N19" i="81"/>
  <c r="Q14" i="47"/>
  <c r="S12" s="1"/>
  <c r="O19" i="81"/>
  <c r="P19" s="1"/>
  <c r="E28" i="75"/>
  <c r="M28" s="1"/>
  <c r="E26" i="81"/>
  <c r="M26" s="1"/>
  <c r="O26" s="1"/>
  <c r="P26" s="1"/>
  <c r="AA10" i="45"/>
  <c r="D18" i="75"/>
  <c r="O17"/>
  <c r="O20" i="81"/>
  <c r="Q20" s="1"/>
  <c r="H36" i="24"/>
  <c r="Q15" s="1"/>
  <c r="S12" s="1"/>
  <c r="AC10" i="48"/>
  <c r="H33" i="47"/>
  <c r="B29" i="41"/>
  <c r="B28"/>
  <c r="B23"/>
  <c r="B22"/>
  <c r="B17"/>
  <c r="B16"/>
  <c r="A4"/>
  <c r="A3"/>
  <c r="A2"/>
  <c r="M18" i="75" l="1"/>
  <c r="O18" s="1"/>
  <c r="P29"/>
  <c r="Q29"/>
  <c r="R29" s="1"/>
  <c r="R17"/>
  <c r="Q17"/>
  <c r="P17"/>
  <c r="D9" i="86"/>
  <c r="D10" i="85"/>
  <c r="D7" i="84"/>
  <c r="Q19" i="81"/>
  <c r="O28" i="75"/>
  <c r="I7"/>
  <c r="I7" i="81"/>
  <c r="G7" i="75"/>
  <c r="G7" i="81"/>
  <c r="D5" i="86"/>
  <c r="D12" i="87"/>
  <c r="F7" i="75"/>
  <c r="F7" i="81"/>
  <c r="H7" i="75"/>
  <c r="H7" i="81"/>
  <c r="E7" i="75"/>
  <c r="E7" i="81"/>
  <c r="D7" i="75"/>
  <c r="M7" s="1"/>
  <c r="D7" i="81"/>
  <c r="P20"/>
  <c r="AC10" i="41"/>
  <c r="C11"/>
  <c r="D11" s="1"/>
  <c r="J85" i="31"/>
  <c r="J84"/>
  <c r="J83"/>
  <c r="J82"/>
  <c r="J81"/>
  <c r="J80"/>
  <c r="J79"/>
  <c r="J78"/>
  <c r="J77"/>
  <c r="J76"/>
  <c r="J75"/>
  <c r="J74"/>
  <c r="J73"/>
  <c r="J66"/>
  <c r="J65"/>
  <c r="J64"/>
  <c r="J63"/>
  <c r="J62"/>
  <c r="J61"/>
  <c r="J60"/>
  <c r="J59"/>
  <c r="J58"/>
  <c r="J57"/>
  <c r="J56"/>
  <c r="J55"/>
  <c r="J54"/>
  <c r="J47"/>
  <c r="J46"/>
  <c r="J45"/>
  <c r="J44"/>
  <c r="J43"/>
  <c r="J42"/>
  <c r="J41"/>
  <c r="J40"/>
  <c r="J39"/>
  <c r="J38"/>
  <c r="J37"/>
  <c r="J36"/>
  <c r="J35"/>
  <c r="F13" i="26"/>
  <c r="M9" i="75" s="1"/>
  <c r="F12" i="26"/>
  <c r="N9" i="75" s="1"/>
  <c r="O9" l="1"/>
  <c r="P18"/>
  <c r="Q18"/>
  <c r="R18" s="1"/>
  <c r="Q28"/>
  <c r="P28"/>
  <c r="M7" i="81"/>
  <c r="O7" s="1"/>
  <c r="P7" s="1"/>
  <c r="B6" i="87"/>
  <c r="E6"/>
  <c r="F6" s="1"/>
  <c r="B6" i="86"/>
  <c r="B18" i="84"/>
  <c r="B19" s="1"/>
  <c r="O7" i="75"/>
  <c r="Q7" s="1"/>
  <c r="F14" i="26"/>
  <c r="H11" s="1"/>
  <c r="J72" i="31"/>
  <c r="J53"/>
  <c r="J34"/>
  <c r="A4" i="40"/>
  <c r="A3"/>
  <c r="A2"/>
  <c r="P7" i="75" l="1"/>
  <c r="R7"/>
  <c r="P9"/>
  <c r="Q9"/>
  <c r="Q6" s="1"/>
  <c r="Q27"/>
  <c r="R27" s="1"/>
  <c r="R28"/>
  <c r="C8" i="84"/>
  <c r="E8"/>
  <c r="F8" s="1"/>
  <c r="A2" i="26"/>
  <c r="G23" i="30"/>
  <c r="F23"/>
  <c r="E23"/>
  <c r="H25" i="26"/>
  <c r="S13" s="1"/>
  <c r="M8" i="81" s="1"/>
  <c r="H24" i="26"/>
  <c r="S12" s="1"/>
  <c r="H23"/>
  <c r="G53" i="31"/>
  <c r="B24" i="39"/>
  <c r="C7" i="85" l="1"/>
  <c r="C9" i="87"/>
  <c r="E7" i="85"/>
  <c r="F7" s="1"/>
  <c r="C6" i="84"/>
  <c r="H19" i="75"/>
  <c r="H17" i="81"/>
  <c r="S14" i="26"/>
  <c r="T11" s="1"/>
  <c r="N8" i="81"/>
  <c r="O8" s="1"/>
  <c r="S11" i="26"/>
  <c r="H26"/>
  <c r="B26" i="39"/>
  <c r="B25"/>
  <c r="B23"/>
  <c r="B18"/>
  <c r="B17"/>
  <c r="B16"/>
  <c r="A4"/>
  <c r="A3"/>
  <c r="B24" i="38"/>
  <c r="B23"/>
  <c r="B18"/>
  <c r="B17"/>
  <c r="B16"/>
  <c r="A4"/>
  <c r="A3"/>
  <c r="A2"/>
  <c r="A4" i="31"/>
  <c r="B30" s="1"/>
  <c r="A3"/>
  <c r="A2"/>
  <c r="H50" i="9"/>
  <c r="H49"/>
  <c r="G48"/>
  <c r="F48"/>
  <c r="E48"/>
  <c r="H47"/>
  <c r="H42"/>
  <c r="H41"/>
  <c r="G40"/>
  <c r="F40"/>
  <c r="E40"/>
  <c r="H39"/>
  <c r="A4"/>
  <c r="A28" s="1"/>
  <c r="A3"/>
  <c r="A2"/>
  <c r="H41" i="30"/>
  <c r="I41" s="1"/>
  <c r="H40"/>
  <c r="I40" s="1"/>
  <c r="H39"/>
  <c r="I39" s="1"/>
  <c r="H38"/>
  <c r="I38" s="1"/>
  <c r="H37"/>
  <c r="I37" s="1"/>
  <c r="A4"/>
  <c r="A3"/>
  <c r="A2"/>
  <c r="G46" i="34"/>
  <c r="G43" i="28" s="1"/>
  <c r="T43" s="1"/>
  <c r="F46" i="34"/>
  <c r="F43" i="28" s="1"/>
  <c r="E46" i="34"/>
  <c r="E43" i="28" s="1"/>
  <c r="G45" i="34"/>
  <c r="G42" i="28" s="1"/>
  <c r="T42" s="1"/>
  <c r="F45" i="34"/>
  <c r="F42" i="28" s="1"/>
  <c r="E45" i="34"/>
  <c r="E42" i="28" s="1"/>
  <c r="G44" i="34"/>
  <c r="G41" i="28" s="1"/>
  <c r="T41" s="1"/>
  <c r="F44" i="34"/>
  <c r="F41" i="28" s="1"/>
  <c r="E44" i="34"/>
  <c r="G42"/>
  <c r="G39" i="28" s="1"/>
  <c r="T39" s="1"/>
  <c r="F42" i="34"/>
  <c r="F39" i="28" s="1"/>
  <c r="E42" i="34"/>
  <c r="E39" i="28" s="1"/>
  <c r="G41" i="34"/>
  <c r="G38" i="28" s="1"/>
  <c r="T38" s="1"/>
  <c r="F41" i="34"/>
  <c r="F38" i="28" s="1"/>
  <c r="E41" i="34"/>
  <c r="E38" i="28" s="1"/>
  <c r="G40" i="34"/>
  <c r="G37" i="28" s="1"/>
  <c r="T37" s="1"/>
  <c r="F40" i="34"/>
  <c r="E40"/>
  <c r="E37" i="28" s="1"/>
  <c r="G38" i="34"/>
  <c r="G30" i="28" s="1"/>
  <c r="T30" s="1"/>
  <c r="F38" i="34"/>
  <c r="F30" i="28" s="1"/>
  <c r="E38" i="34"/>
  <c r="E30" i="28" s="1"/>
  <c r="G37" i="34"/>
  <c r="G29" i="28" s="1"/>
  <c r="T29" s="1"/>
  <c r="F37" i="34"/>
  <c r="F29" i="28" s="1"/>
  <c r="E37" i="34"/>
  <c r="E29" i="28" s="1"/>
  <c r="G36" i="34"/>
  <c r="G28" i="28" s="1"/>
  <c r="T28" s="1"/>
  <c r="F36" i="34"/>
  <c r="F28" i="28" s="1"/>
  <c r="E36" i="34"/>
  <c r="E28" i="28" s="1"/>
  <c r="G34" i="34"/>
  <c r="F34"/>
  <c r="F26" i="28" s="1"/>
  <c r="E34" i="34"/>
  <c r="E26" i="28" s="1"/>
  <c r="G33" i="34"/>
  <c r="G25" i="28" s="1"/>
  <c r="T25" s="1"/>
  <c r="F33" i="34"/>
  <c r="E33"/>
  <c r="E25" i="28" s="1"/>
  <c r="G32" i="34"/>
  <c r="F32"/>
  <c r="F24" i="28" s="1"/>
  <c r="E32" i="34"/>
  <c r="E24" i="28" s="1"/>
  <c r="E43" i="34"/>
  <c r="A4"/>
  <c r="A3"/>
  <c r="A2"/>
  <c r="F18" i="35"/>
  <c r="F12"/>
  <c r="H44"/>
  <c r="H43"/>
  <c r="H42"/>
  <c r="G41"/>
  <c r="F41"/>
  <c r="E41"/>
  <c r="H40"/>
  <c r="H39"/>
  <c r="H38"/>
  <c r="G37"/>
  <c r="F37"/>
  <c r="E37"/>
  <c r="H36"/>
  <c r="H35"/>
  <c r="H34"/>
  <c r="G33"/>
  <c r="F33"/>
  <c r="E33"/>
  <c r="H32"/>
  <c r="H31"/>
  <c r="H30"/>
  <c r="G29"/>
  <c r="F29"/>
  <c r="E29"/>
  <c r="A4"/>
  <c r="A3"/>
  <c r="A2"/>
  <c r="E18" i="84" l="1"/>
  <c r="R9" i="75"/>
  <c r="Q70"/>
  <c r="R70" s="1"/>
  <c r="F18" i="9"/>
  <c r="F13"/>
  <c r="F15"/>
  <c r="F14"/>
  <c r="R6" i="75"/>
  <c r="E15" i="84"/>
  <c r="E17" i="87"/>
  <c r="D6" i="84"/>
  <c r="D15"/>
  <c r="D18"/>
  <c r="E10" i="85"/>
  <c r="E6" i="84"/>
  <c r="F6" s="1"/>
  <c r="E9" i="86"/>
  <c r="G20" i="75"/>
  <c r="G18" i="81"/>
  <c r="F20" i="75"/>
  <c r="F18" i="81"/>
  <c r="E20" i="75"/>
  <c r="E18" i="81"/>
  <c r="D20" i="75"/>
  <c r="D18" i="81"/>
  <c r="J19" i="75"/>
  <c r="J17" i="81"/>
  <c r="I19" i="75"/>
  <c r="I17" i="81"/>
  <c r="F19" i="75"/>
  <c r="F17" i="81"/>
  <c r="G19" i="75"/>
  <c r="G17" i="81"/>
  <c r="E19" i="75"/>
  <c r="E17" i="81"/>
  <c r="D19" i="75"/>
  <c r="M19" s="1"/>
  <c r="D17" i="81"/>
  <c r="M17" s="1"/>
  <c r="O17" s="1"/>
  <c r="P17" s="1"/>
  <c r="Q8"/>
  <c r="P8"/>
  <c r="M11"/>
  <c r="Q18" i="31"/>
  <c r="Q14"/>
  <c r="O19" i="75"/>
  <c r="F18" i="31"/>
  <c r="F14"/>
  <c r="H22" s="1"/>
  <c r="F19"/>
  <c r="F15"/>
  <c r="F13"/>
  <c r="F17"/>
  <c r="E28" i="35"/>
  <c r="AA10" i="39"/>
  <c r="C11" i="38"/>
  <c r="D11" s="1"/>
  <c r="F22" i="9"/>
  <c r="H22" s="1"/>
  <c r="H46" i="34"/>
  <c r="H40"/>
  <c r="H44"/>
  <c r="F12" i="9"/>
  <c r="N33" i="75" s="1"/>
  <c r="C11" i="39"/>
  <c r="H40" i="9"/>
  <c r="H48"/>
  <c r="G28" i="35"/>
  <c r="F11" s="1"/>
  <c r="G35" i="34"/>
  <c r="H41"/>
  <c r="G43"/>
  <c r="H33"/>
  <c r="H37"/>
  <c r="E31"/>
  <c r="E35"/>
  <c r="H36"/>
  <c r="E39"/>
  <c r="H42"/>
  <c r="F43"/>
  <c r="H43" s="1"/>
  <c r="H45"/>
  <c r="E41" i="28"/>
  <c r="H41" s="1"/>
  <c r="I41" s="1"/>
  <c r="H32" i="34"/>
  <c r="F31"/>
  <c r="H34"/>
  <c r="G39"/>
  <c r="F12"/>
  <c r="M15" i="75" s="1"/>
  <c r="G31" i="34"/>
  <c r="H29" i="35"/>
  <c r="H41"/>
  <c r="F37" i="28"/>
  <c r="G24"/>
  <c r="F25"/>
  <c r="H25" s="1"/>
  <c r="I25" s="1"/>
  <c r="G26"/>
  <c r="F39" i="34"/>
  <c r="F18"/>
  <c r="F35"/>
  <c r="H38"/>
  <c r="H37" i="35"/>
  <c r="H33"/>
  <c r="F28"/>
  <c r="A4" i="28"/>
  <c r="A3"/>
  <c r="A2"/>
  <c r="A4" i="26"/>
  <c r="A3"/>
  <c r="A4" i="33"/>
  <c r="A3"/>
  <c r="A2"/>
  <c r="B29"/>
  <c r="B28"/>
  <c r="B23"/>
  <c r="B22"/>
  <c r="B17"/>
  <c r="B16"/>
  <c r="H80" i="31"/>
  <c r="I80" s="1"/>
  <c r="H61"/>
  <c r="I61" s="1"/>
  <c r="H42"/>
  <c r="I42" s="1"/>
  <c r="H85"/>
  <c r="I85" s="1"/>
  <c r="H84"/>
  <c r="I84" s="1"/>
  <c r="H83"/>
  <c r="I83" s="1"/>
  <c r="H82"/>
  <c r="I82" s="1"/>
  <c r="H81"/>
  <c r="I81" s="1"/>
  <c r="H79"/>
  <c r="I79" s="1"/>
  <c r="H78"/>
  <c r="I78" s="1"/>
  <c r="H77"/>
  <c r="I77" s="1"/>
  <c r="H76"/>
  <c r="I76" s="1"/>
  <c r="H75"/>
  <c r="I75" s="1"/>
  <c r="H74"/>
  <c r="I74" s="1"/>
  <c r="H73"/>
  <c r="G72"/>
  <c r="F72"/>
  <c r="E72"/>
  <c r="H71"/>
  <c r="H66"/>
  <c r="I66" s="1"/>
  <c r="H65"/>
  <c r="I65" s="1"/>
  <c r="H64"/>
  <c r="I64" s="1"/>
  <c r="H63"/>
  <c r="I63" s="1"/>
  <c r="H62"/>
  <c r="I62" s="1"/>
  <c r="H60"/>
  <c r="I60" s="1"/>
  <c r="H59"/>
  <c r="I59" s="1"/>
  <c r="H58"/>
  <c r="I58" s="1"/>
  <c r="H57"/>
  <c r="I57" s="1"/>
  <c r="H56"/>
  <c r="I56" s="1"/>
  <c r="H55"/>
  <c r="I55" s="1"/>
  <c r="H54"/>
  <c r="I54" s="1"/>
  <c r="F53"/>
  <c r="E53"/>
  <c r="H52"/>
  <c r="H47"/>
  <c r="I47" s="1"/>
  <c r="H46"/>
  <c r="I46" s="1"/>
  <c r="H45"/>
  <c r="I45" s="1"/>
  <c r="H44"/>
  <c r="I44" s="1"/>
  <c r="H43"/>
  <c r="I43" s="1"/>
  <c r="H41"/>
  <c r="I41" s="1"/>
  <c r="H40"/>
  <c r="I40" s="1"/>
  <c r="H39"/>
  <c r="I39" s="1"/>
  <c r="H38"/>
  <c r="I38" s="1"/>
  <c r="H37"/>
  <c r="I37" s="1"/>
  <c r="H36"/>
  <c r="I36" s="1"/>
  <c r="H35"/>
  <c r="I35" s="1"/>
  <c r="G34"/>
  <c r="E34"/>
  <c r="H33"/>
  <c r="Q15" s="1"/>
  <c r="H36" i="30"/>
  <c r="I36" s="1"/>
  <c r="H35"/>
  <c r="I35" s="1"/>
  <c r="H34"/>
  <c r="I34" s="1"/>
  <c r="H33"/>
  <c r="I33" s="1"/>
  <c r="H27"/>
  <c r="I27" s="1"/>
  <c r="H26"/>
  <c r="I26" s="1"/>
  <c r="H25"/>
  <c r="I25" s="1"/>
  <c r="H24"/>
  <c r="I24" s="1"/>
  <c r="H22"/>
  <c r="E23" i="28"/>
  <c r="F23"/>
  <c r="E32" i="9"/>
  <c r="F32"/>
  <c r="G32"/>
  <c r="F19" s="1"/>
  <c r="F23" s="1"/>
  <c r="H23" s="1"/>
  <c r="H43" i="28"/>
  <c r="I43" s="1"/>
  <c r="H42"/>
  <c r="I42" s="1"/>
  <c r="H39"/>
  <c r="I39" s="1"/>
  <c r="H38"/>
  <c r="I38" s="1"/>
  <c r="H37"/>
  <c r="I37" s="1"/>
  <c r="G40"/>
  <c r="F40"/>
  <c r="G36"/>
  <c r="F36"/>
  <c r="E36"/>
  <c r="G27"/>
  <c r="F27"/>
  <c r="E27"/>
  <c r="H28"/>
  <c r="I28" s="1"/>
  <c r="H29"/>
  <c r="I29" s="1"/>
  <c r="H30"/>
  <c r="I30" s="1"/>
  <c r="H34" i="9"/>
  <c r="H31"/>
  <c r="H33"/>
  <c r="Q19" i="75" l="1"/>
  <c r="R19" s="1"/>
  <c r="P19"/>
  <c r="G11" i="33"/>
  <c r="D11" s="1"/>
  <c r="H20" i="75"/>
  <c r="H18" i="81"/>
  <c r="M18" s="1"/>
  <c r="O18" s="1"/>
  <c r="P18" s="1"/>
  <c r="I12" i="75"/>
  <c r="I10" i="81"/>
  <c r="H12" i="75"/>
  <c r="H10" i="81"/>
  <c r="G12" i="75"/>
  <c r="G10" i="81"/>
  <c r="F12" i="75"/>
  <c r="F10" i="81"/>
  <c r="E12" i="75"/>
  <c r="E10" i="81"/>
  <c r="D12" i="75"/>
  <c r="M12" s="1"/>
  <c r="D10" i="81"/>
  <c r="M10" s="1"/>
  <c r="O10" s="1"/>
  <c r="P10" s="1"/>
  <c r="Q6"/>
  <c r="N31"/>
  <c r="Q13" i="31"/>
  <c r="M13" i="81"/>
  <c r="S13" i="75"/>
  <c r="N11" i="81"/>
  <c r="O11" s="1"/>
  <c r="S22" i="31"/>
  <c r="Q22"/>
  <c r="F23"/>
  <c r="F17" i="9"/>
  <c r="F16" s="1"/>
  <c r="AC10" i="33"/>
  <c r="H24" i="28"/>
  <c r="I24" s="1"/>
  <c r="T24"/>
  <c r="H26"/>
  <c r="I26" s="1"/>
  <c r="S12" s="1"/>
  <c r="T26"/>
  <c r="F12" s="1"/>
  <c r="M26" i="75" s="1"/>
  <c r="G30" i="34"/>
  <c r="F11" s="1"/>
  <c r="D11" i="39"/>
  <c r="E40" i="28"/>
  <c r="E22" s="1"/>
  <c r="H72" i="31"/>
  <c r="C11" i="33"/>
  <c r="H39" i="34"/>
  <c r="H35"/>
  <c r="F30"/>
  <c r="F17" s="1"/>
  <c r="F19" s="1"/>
  <c r="N16" i="75" s="1"/>
  <c r="E30" i="34"/>
  <c r="I23" i="30"/>
  <c r="F13" s="1"/>
  <c r="H31" i="34"/>
  <c r="G23" i="28"/>
  <c r="G22" s="1"/>
  <c r="F11" s="1"/>
  <c r="N26" i="75" s="1"/>
  <c r="H28" i="35"/>
  <c r="F17"/>
  <c r="F19" s="1"/>
  <c r="F12" i="31"/>
  <c r="N34" i="75" s="1"/>
  <c r="I73" i="31"/>
  <c r="I72" s="1"/>
  <c r="F22"/>
  <c r="H34"/>
  <c r="I34"/>
  <c r="H53"/>
  <c r="H23" i="30"/>
  <c r="F13" i="35"/>
  <c r="H11" s="1"/>
  <c r="F22" i="28"/>
  <c r="H36"/>
  <c r="H27"/>
  <c r="H32" i="9"/>
  <c r="I53" i="31"/>
  <c r="F21"/>
  <c r="H21" s="1"/>
  <c r="N13" i="81" l="1"/>
  <c r="N15" i="75"/>
  <c r="O15" s="1"/>
  <c r="O26"/>
  <c r="M31" i="81"/>
  <c r="M33" i="75"/>
  <c r="O33" s="1"/>
  <c r="M20"/>
  <c r="O20" s="1"/>
  <c r="E12" i="87"/>
  <c r="F12" s="1"/>
  <c r="O13" i="81"/>
  <c r="M14" s="1"/>
  <c r="O14" s="1"/>
  <c r="O12" i="75"/>
  <c r="Q19" i="31"/>
  <c r="Q17"/>
  <c r="Q21" s="1"/>
  <c r="S21" s="1"/>
  <c r="H40" i="28"/>
  <c r="M14" i="75"/>
  <c r="O14" s="1"/>
  <c r="O31" i="81"/>
  <c r="P31" s="1"/>
  <c r="Q12" i="31"/>
  <c r="N32" i="81" s="1"/>
  <c r="N12"/>
  <c r="N14"/>
  <c r="P13"/>
  <c r="S13"/>
  <c r="S11"/>
  <c r="P11"/>
  <c r="M12"/>
  <c r="M24"/>
  <c r="Q23" i="31"/>
  <c r="S23" s="1"/>
  <c r="H23"/>
  <c r="H12" s="1"/>
  <c r="H23" i="28"/>
  <c r="F20" i="9"/>
  <c r="F21"/>
  <c r="H21" s="1"/>
  <c r="H12" s="1"/>
  <c r="F13" i="34"/>
  <c r="H11" s="1"/>
  <c r="S15" i="75"/>
  <c r="F20" i="35"/>
  <c r="H17" s="1"/>
  <c r="H21" s="1"/>
  <c r="H12" i="24"/>
  <c r="H30" i="34"/>
  <c r="H11" i="30"/>
  <c r="F16" i="31"/>
  <c r="M34" i="75" s="1"/>
  <c r="O34" s="1"/>
  <c r="H22" i="28"/>
  <c r="P34" i="75" l="1"/>
  <c r="Q34"/>
  <c r="Q33"/>
  <c r="R33" s="1"/>
  <c r="P33"/>
  <c r="P26"/>
  <c r="Q26"/>
  <c r="R26" s="1"/>
  <c r="O12" i="81"/>
  <c r="Q15" i="75"/>
  <c r="P15"/>
  <c r="P14"/>
  <c r="Q13"/>
  <c r="R13" s="1"/>
  <c r="Q20"/>
  <c r="R20" s="1"/>
  <c r="P20"/>
  <c r="D8" i="85"/>
  <c r="P12" i="75"/>
  <c r="Q12"/>
  <c r="R12" s="1"/>
  <c r="C5" i="86"/>
  <c r="S14" i="75"/>
  <c r="E5" i="85"/>
  <c r="F5" s="1"/>
  <c r="D5"/>
  <c r="B7" i="86"/>
  <c r="B16" i="87"/>
  <c r="B13"/>
  <c r="C8" i="86"/>
  <c r="B9" i="84"/>
  <c r="E7" i="86"/>
  <c r="F7" s="1"/>
  <c r="D19" i="84"/>
  <c r="D7" i="87"/>
  <c r="C17"/>
  <c r="C18" s="1"/>
  <c r="C10"/>
  <c r="C7"/>
  <c r="C9" i="86"/>
  <c r="C10" s="1"/>
  <c r="C6"/>
  <c r="C10" i="85"/>
  <c r="C11" s="1"/>
  <c r="C8"/>
  <c r="C15" i="84"/>
  <c r="C16" s="1"/>
  <c r="C7"/>
  <c r="Q16" i="31"/>
  <c r="M32" i="81" s="1"/>
  <c r="O32" s="1"/>
  <c r="Q32" s="1"/>
  <c r="F13" i="28"/>
  <c r="H11" s="1"/>
  <c r="S11"/>
  <c r="P12" i="81"/>
  <c r="S12"/>
  <c r="P14"/>
  <c r="S14"/>
  <c r="F20" i="34"/>
  <c r="H17" s="1"/>
  <c r="F21" s="1"/>
  <c r="F20" i="31"/>
  <c r="M16" i="75"/>
  <c r="O16" s="1"/>
  <c r="P16" s="1"/>
  <c r="F21" i="35"/>
  <c r="C16" i="87" l="1"/>
  <c r="E5" i="86"/>
  <c r="C12" i="87"/>
  <c r="Q20" i="31"/>
  <c r="Q28" i="81"/>
  <c r="Q68"/>
  <c r="R68" s="1"/>
  <c r="N24"/>
  <c r="O24" s="1"/>
  <c r="S13" i="28"/>
  <c r="U11" s="1"/>
  <c r="P32" i="81"/>
  <c r="S16" i="75"/>
  <c r="R15" s="1"/>
  <c r="H21" i="34"/>
  <c r="R34" i="75"/>
  <c r="AC10" i="38"/>
  <c r="H25" i="56"/>
  <c r="Q30" i="75" l="1"/>
  <c r="R30" s="1"/>
  <c r="D8" i="86"/>
  <c r="D9" i="85"/>
  <c r="D13" i="87"/>
  <c r="E8" i="86"/>
  <c r="F8" s="1"/>
  <c r="E9" i="85"/>
  <c r="F9" s="1"/>
  <c r="D9" i="84"/>
  <c r="D16" i="87"/>
  <c r="E9" i="84"/>
  <c r="F9" s="1"/>
  <c r="E13" i="87"/>
  <c r="F13" s="1"/>
  <c r="E16"/>
  <c r="F16" s="1"/>
  <c r="B10"/>
  <c r="B8" i="86"/>
  <c r="E7" i="87"/>
  <c r="F7" s="1"/>
  <c r="B7" i="84"/>
  <c r="B17" i="87"/>
  <c r="B18" s="1"/>
  <c r="B7"/>
  <c r="B8" i="85"/>
  <c r="B10"/>
  <c r="B11" s="1"/>
  <c r="B9" i="86"/>
  <c r="B10" s="1"/>
  <c r="B15" i="84"/>
  <c r="B16" s="1"/>
  <c r="E7"/>
  <c r="F7" s="1"/>
  <c r="Q71" i="75"/>
  <c r="M62" s="1"/>
  <c r="P24" i="81"/>
  <c r="Q24"/>
  <c r="Q9" s="1"/>
  <c r="Q11" i="75"/>
  <c r="R11" s="1"/>
  <c r="R71" l="1"/>
  <c r="E19" i="84"/>
  <c r="E8" i="85"/>
  <c r="F8" s="1"/>
  <c r="Q73" i="75"/>
  <c r="R73" s="1"/>
  <c r="C18" i="84"/>
  <c r="C19" s="1"/>
  <c r="E11" i="85"/>
  <c r="E16" i="84"/>
  <c r="D16"/>
  <c r="E18" i="87"/>
  <c r="E10" i="86"/>
  <c r="D11" i="85"/>
  <c r="D10" i="86"/>
  <c r="Q72" i="75"/>
  <c r="R72" s="1"/>
  <c r="H19" i="71"/>
  <c r="Q12" s="1"/>
  <c r="S12" s="1"/>
  <c r="F5" i="86" l="1"/>
  <c r="Q59" i="81"/>
  <c r="F12" i="71"/>
  <c r="H12" s="1"/>
  <c r="M59" i="81"/>
  <c r="O59" s="1"/>
  <c r="P59" s="1"/>
  <c r="Q57" l="1"/>
  <c r="Y7" s="1"/>
  <c r="Q69"/>
  <c r="R69" s="1"/>
  <c r="Q66"/>
  <c r="R66" s="1"/>
  <c r="O62" i="75"/>
  <c r="P62" s="1"/>
  <c r="Q62" l="1"/>
  <c r="D10" i="87" l="1"/>
  <c r="D9"/>
  <c r="D6" i="86"/>
  <c r="E10" i="87"/>
  <c r="F10" s="1"/>
  <c r="R62" i="75"/>
  <c r="D14" i="84"/>
  <c r="E9" i="87"/>
  <c r="F9" s="1"/>
  <c r="E6" i="86"/>
  <c r="F6" s="1"/>
  <c r="Q60" i="75"/>
  <c r="E14" i="84"/>
  <c r="F14" s="1"/>
  <c r="D17" i="87"/>
  <c r="D18" s="1"/>
  <c r="Y7" i="75" l="1"/>
  <c r="R60"/>
</calcChain>
</file>

<file path=xl/sharedStrings.xml><?xml version="1.0" encoding="utf-8"?>
<sst xmlns="http://schemas.openxmlformats.org/spreadsheetml/2006/main" count="4661" uniqueCount="984">
  <si>
    <t>ผลการดำเนินงาน</t>
  </si>
  <si>
    <t>รวม</t>
  </si>
  <si>
    <t>หน่วยนับ</t>
  </si>
  <si>
    <t>คน</t>
  </si>
  <si>
    <t>รายการข้อมูล</t>
  </si>
  <si>
    <t>ร้อยละ</t>
  </si>
  <si>
    <t>ข้อมูล</t>
  </si>
  <si>
    <t>คะแนนที่ได้</t>
  </si>
  <si>
    <t>หน่วยวัด</t>
  </si>
  <si>
    <t>เกณฑ์การให้คะแนน</t>
  </si>
  <si>
    <t>หมายเหตุ</t>
  </si>
  <si>
    <t>จำนวนผลงานที่ตีพิมพ์หรือเผยแพร่</t>
  </si>
  <si>
    <t>ผลงาน</t>
  </si>
  <si>
    <t>บทความวิจัยฉบับสมบูรณ์ที่ตีพิมพ์ในรายงานสืบเนื่องจากการประชุมวิชาการระดับชาติ</t>
  </si>
  <si>
    <t>บทความวิจัยที่ได้รับการตีพิมพ์ในวารสารวิชาการระดับชาติที่ปรากฏในฐานข้อมูล TCI</t>
  </si>
  <si>
    <t>บทความวิจัยฉบับสมบูรณ์ที่ตีพิมพ์ในรายงานสืบเนื่องจากการประชุมวิชาการระดับนานาชาติ</t>
  </si>
  <si>
    <t>งานสร้างสรรค์ที่เผยแพร่ในระดับสถาบันหรือจังหวัด</t>
  </si>
  <si>
    <t>งานสร้างสรรค์ที่เผยแพร่ในระดับชาติ</t>
  </si>
  <si>
    <t>งานสร้างสรรค์ที่เผยแพร่ในระดับความร่วมมือระหว่างประเทศ</t>
  </si>
  <si>
    <t>งานสร้างสรรค์ที่เผยแพร่ในระดับภูมิภาคอาเซียน</t>
  </si>
  <si>
    <t>งานสร้างสรรค์ที่เผยแพร่ในระดับนานาชาติ</t>
  </si>
  <si>
    <t>ถ่วงน้ำหนัก</t>
  </si>
  <si>
    <t>จำนวนผู้สำเร็จการศึกษาระดับปริญญาเอกทั้งหมด</t>
  </si>
  <si>
    <t>จำนวนผลงานที่ตีพิมพ์</t>
  </si>
  <si>
    <t>ผลรวมถ่วงน้ำหนักของผลงานที่ตีพิมพ์ของผู้สำเร็จการศึกษาระดับปริญญาเอก</t>
  </si>
  <si>
    <t>ร้อยละของผลงานของผู้สำเร็จการศึกษาระดับปริญญาเอกที่ได้รับการตีพิมพ์</t>
  </si>
  <si>
    <t>จำนวนอาจารย์ประจำและนักวิจัยประจำทั้งหมด</t>
  </si>
  <si>
    <t>ร้อยละของงานวิจัยหรืองานสร้างสรรค์ของอาจารย์ประจำและนักวิจัยประจำที่ได้รับการตีพิมพ์หรือเผยแพร่</t>
  </si>
  <si>
    <t>ผลรวมถ่วงน้ำหนักของงานวิจัยหรืองานสร้างสรรค์ของอาจารย์ประจำและนักวิจัยประจำที่ตีพิมพ์หรือเผยแพร่</t>
  </si>
  <si>
    <t>þ</t>
  </si>
  <si>
    <t>¨</t>
  </si>
  <si>
    <t>มีการดำเนินการ</t>
  </si>
  <si>
    <t>ไม่มีการดำเนินการ</t>
  </si>
  <si>
    <t>คณะ/วิทยาลัย</t>
  </si>
  <si>
    <t>จำนวนผู้สำเร็จการศึกษานับตามจำนวนผู้สำเร็จการศึกษาในแต่ละปีการศึกษา</t>
  </si>
  <si>
    <t>กลุ่มสาขาวิชา</t>
  </si>
  <si>
    <t>กลุ่มสาขาวิชามนุษยศาสตร์และสังคมศาสตร์</t>
  </si>
  <si>
    <t>กลุ่มสาขาวิชาวิทยาศาสตร์และเทคโนโลยี</t>
  </si>
  <si>
    <t>กลุ่มสาขาวิชาวิทยาศาสตร์สุขภาพ</t>
  </si>
  <si>
    <t>ค่าเฉลี่ย</t>
  </si>
  <si>
    <t>ข้อ</t>
  </si>
  <si>
    <t>คะแนน</t>
  </si>
  <si>
    <t>จำนวนบัณฑิตที่ได้รับการประเมินทั้งหมด</t>
  </si>
  <si>
    <t>จำนวนบัณฑิตที่ได้รับการประเมิน</t>
  </si>
  <si>
    <t>ผลรวมของค่าคะแนนที่ได้จากการประเมินบัณฑิต</t>
  </si>
  <si>
    <t>จำนวนบัณฑิตที่สำเร็จการศึกษา</t>
  </si>
  <si>
    <t>ค่าเฉลี่ยของคะแนนประเมินบัณฑิต</t>
  </si>
  <si>
    <t>ผลรวมของค่าคะแนนที่ได้จากการประเมินบัณฑิตที่มีคุณลักษณะตามอัตลักษณ์</t>
  </si>
  <si>
    <t>ค่าคะแนนเฉลี่ยของคะแนนประเมินบัณฑิต</t>
  </si>
  <si>
    <t>ตัวบ่งชี้ที่ 14 การพัฒนาคณาจารย์</t>
  </si>
  <si>
    <t>จำนวนอาจารย์ประจำทั้งหมด</t>
  </si>
  <si>
    <t>ผลรวมถ่วงน้ำหนักของอาจารย์ประจำ</t>
  </si>
  <si>
    <t>ดัชนีคุณภาพอาจารย์</t>
  </si>
  <si>
    <t>จำนวนอาจารย์ที่ดำรงตำแหน่งอาจารย์</t>
  </si>
  <si>
    <t>วุฒิปริญญาตรี</t>
  </si>
  <si>
    <t>วุฒิปริญญาเอก</t>
  </si>
  <si>
    <t>วูฒิปริญญาโท</t>
  </si>
  <si>
    <t>จำนวนอาจารย์ประจำที่ดำรงตำแหน่งผู้ช่วยศาสตราจารย์</t>
  </si>
  <si>
    <t>วุฒิปริญญาโท</t>
  </si>
  <si>
    <t>จำนวนอาจารย์ประจำที่ดำรงตำแหน่งรองศาสตราจารย์</t>
  </si>
  <si>
    <t>ผลการประเมิน</t>
  </si>
  <si>
    <t>ประเมิน</t>
  </si>
  <si>
    <t>ไม่ประเมิน</t>
  </si>
  <si>
    <t>บทความวิจัยที่ตีพิมพ์ในวารสารวิชาการระดับชาติที่มีชื่อปรากฏอยู่ในประกาศของ สมศ.</t>
  </si>
  <si>
    <t>บทความวิจัยที่ตีพิมพ์ในวารสารวิชาการระดับนานาชาติที่มีชื่อปรากฏอยู่ในประกาศของ สมศ.</t>
  </si>
  <si>
    <t>จำนวนอาจารย์ประจำที่ดำรงตำแหน่งศาสตราจารย์</t>
  </si>
  <si>
    <t>คณะศิลปศาสตร์</t>
  </si>
  <si>
    <t>คณะบริหารธุรกิจ</t>
  </si>
  <si>
    <t>ประธานกรรมการ</t>
  </si>
  <si>
    <t>กรรมการ</t>
  </si>
  <si>
    <t>กรรมการและเลขานุการ</t>
  </si>
  <si>
    <t>ภาควิชา/สาขาวิชา</t>
  </si>
  <si>
    <t>มีการดำเนินการแต่ไม่ครบถ้วน</t>
  </si>
  <si>
    <t>ประเมินแต่รอผล</t>
  </si>
  <si>
    <t>รอผลของมหาวิทยาลัย</t>
  </si>
  <si>
    <t>1. มีระบบและกลไกการเปิดหลักสูตรใหม่และปรับปรุงหลักสูตรตามแนวทางปฏิบัติที่กำหนดโดยคณะกรรมการการอุดมศึกษา และดำเนินการตามระบบที่กำหนด</t>
  </si>
  <si>
    <t>เกณฑ์มาตรฐาน</t>
  </si>
  <si>
    <t>การดำเนินงานตามเกณฑ์มาตรฐาน</t>
  </si>
  <si>
    <t>2. มีระบบและกลไกการปิดหลักสูตรตามแนวทางปฏิบัติที่กำหนดโดยคณะกรรมการการอุดมศึกษา และดำเนินการตามระบบที่กำหนด</t>
  </si>
  <si>
    <t>4. มีคณะกรรมการรับผิดชอบควบคุมกำกับให้มีการดำเนินการได้ครบถ้วนทั้งข้อ 1 ข้อ 2 และ    ข้อ 3 ข้างต้นตลอดเวลาที่จัดการศึกษา และมีการประเมินหลักสูตรทุกหลักสูตรอย่างน้อยตามกรอบเวลาที่กำหนดในเกณฑ์มาตรฐานหลักสูตรฯ กรณีหลักสูตรที่ดำเนินงานตามกรอบมาตรฐานคุณวุฒิระดับอุดมศึกษาแห่งชาติ จะต้องควบคุมกำกับให้การดำเนินงานตามตัวบ่งชี้ในข้อ 3 ผ่านเกณฑ์การประเมิน 5 ข้อแรกและอย่างน้อยร้อยละ 80 ของตัวบ่งชี้ที่</t>
  </si>
  <si>
    <t>5. มีคณะกรรมการรับผิดชอบควบคุมกำกับให้มีการดำเนินการได้ครบถ้วนทั้งข้อ 1 ข้อ 2 และข้อ 3 ข้างต้นตลอดเวลาที่จัดการศึกษา และมีการพัฒนาหลักสูตรทุกหลักสูตรตามผลการประเมินในข้อ 4 กรณีหลักสูตรที่ดำเนินงานตามกรอบมาตรฐานคุณวุฒิระดับอุดมศึกษาแห่งชาติ จะต้องควบคุมกำกับให้การดำเนินงานตามตัวบ่งชี้ในข้อ 3 ผ่านเกณฑ์การประเมินครบ ทุกตัวบ่งชี้และทุกหลักสูตร</t>
  </si>
  <si>
    <t xml:space="preserve">6. มีความร่วมมือในการพัฒนาและบริหารหลักสูตรระหว่างสถาบันกับภาครัฐหรือภาคเอกชนที่เกี่ยวข้องกับวิชาชีพของหลักสูตร มากกว่าร้อยละ 30 ของจำนวนหลักสูตรวิชาชีพทั้งหมดทุกระดับการศึกษา </t>
  </si>
  <si>
    <t>3. ทุกหลักสูตรมีการดำเนินงานให้เป็นไปตามเกณฑ์มาตรฐานหลักสูตรระดับอุดมศึกษาและกรอบมาตรฐานคุณวุฒิระดับอุดมศึกษาแห่งชาติ(การดำเนินงานตามกรอบมาตรฐานคุณวุฒิระดับอุดมศึกษาแห่งชาติ หมายถึง ต้องมีการประเมินผลตาม “ตัวบ่งชี้ผลการดำเนินงานตามประกาศมาตรฐานคุณวุฒิสาขาหรือสาขาวิชา เพื่อการประกันคุณภาพหลักสูตรและการเรียนการสอน” กรณีที่หลักสูตรใดยังไม่มีประกาศมาตรฐานคุณวุฒิสาขาหรือสาขาวิชา ให้ประเมินตามตัวบ่งชี้กลางที่กำหนด) สำหรับหลักสูตรสาขาวิชาชีพต้องได้รับการรับรองหลักสูตรจากสภาหรือองค์กรวิชาชีพที่เกี่ยวข้องด้วย (หมายเหตุ : สำหรับหลักสูตรเก่าหรือหลักสูตรปรับปรุงที่ยังไม่ได้ดำเนินการตามกรอบมาตรฐานคุณวุฒิระดับอุดมศึกษาแห่งชาติก่อนปีการศึกษา 2555 ให้ยึดตามเกณฑ์มาตรฐานหลักสูตรระดับอุดมศึกษา พ.ศ. 2548 )</t>
  </si>
  <si>
    <t>ตัวบ่งชี้ที่ 1-16.2 ผลการพัฒนาบัณฑิตตามอัตลักษณ์</t>
  </si>
  <si>
    <t>ตัวบ่งชี้ที่ 2.1 ระบบและกลไกการพัฒนาและบริหารหลักสูตร</t>
  </si>
  <si>
    <t>ตัวบ่งชี้ที่ 2.2 อาจารย์ประจำที่มีคุณวุฒิปริญญาเอก</t>
  </si>
  <si>
    <t>อาจารย์ประจำที่มีคุณวุฒิปริญญาเอก</t>
  </si>
  <si>
    <t>ร้อยละของอาจารย์ประจำที่มีคุณวุฒิปริญญาเอก</t>
  </si>
  <si>
    <t>อาจารย์ประจำที่มีคุณวุฒิปริญญาเอกในปีที่ผ่านมา</t>
  </si>
  <si>
    <t>ค่าการเพิ่มขึ้นของร้อยละของอาจารย์ประจำที่มีคุณวุฒิปริญญาเอกเปรียบเทียบกับปีที่ผ่านมา</t>
  </si>
  <si>
    <t>จำนวนอาจารย์ประจำทั้งหมดในปีที่ผ่านมา</t>
  </si>
  <si>
    <t>ร้อยละของอาจารย์ประจำที่มีคุณวุฒิปริญญาเอกในปีที่ผ่านมา</t>
  </si>
  <si>
    <t>อาจารย์ประจำที่ดำรงตำแหน่งทางวิชาการ</t>
  </si>
  <si>
    <t>ร้อยละของอาจารย์ประจำที่ดำรงตำแหน่งทางวิชาการ</t>
  </si>
  <si>
    <t>อาจารย์ประจำที่ดำรงตำแหน่งทางวิชาการในปีที่ผ่านมา</t>
  </si>
  <si>
    <t>ร้อยละของอาจารย์ประจำที่ดำรงตำแหน่งทางวิชาการในปีที่ผ่านมา</t>
  </si>
  <si>
    <t>ค่าการเพิ่มขึ้นของร้อยละของอาจารย์ประจำที่ดำรงตำแหน่งทางวิชาการเปรียบเทียบกับปีที่ผ่านมา</t>
  </si>
  <si>
    <t>ตัวบ่งชี้ที่ 2.2 อาจารย์ประจำที่ดำรงตำแหน่งทางวิชาการ</t>
  </si>
  <si>
    <t>ตัวบ่งชี้ที่ 2-2 คุณภาพของบัณฑิตปริญญาตรี โท และเอก ตามกรอบมาตรฐานคุณวุฒิ                                                  ระดับอุดมศึกษาแห่งชาติ</t>
  </si>
  <si>
    <t>ตัวบ่งชี้ที่ 2-4 ผลงานของผู้สำเร็จการศึกษาระดับปริญญาเอกที่ได้รับการตีพิมพ์หรือเผยแพร่</t>
  </si>
  <si>
    <t>บาท</t>
  </si>
  <si>
    <t>จำนวนเงินวิจัยหรืองานสร้างสรรค์ภายในและภายนอก</t>
  </si>
  <si>
    <t>จำนวนเงินวิจัยหรืองานสร้างสรรค์ภายนอก</t>
  </si>
  <si>
    <t>จำนวนเงินวิจัยหรืองานสร้างสรรค์ภายใน</t>
  </si>
  <si>
    <t>จำนวนอาจารย์ประจำและนักวิจัยประจำไม่นับรวมที่ลาศึกษาต่อ</t>
  </si>
  <si>
    <t>จำนวนเงินวิจัยหรืองานสร้างสรรค์จากภายในและภายนอก</t>
  </si>
  <si>
    <t>จำนวนเงินวิจัยหรืองานสร้างสรรค์จากภายในและภายนอกต่อจำนวนอาจารย์ประจำและนักวิจัยประจำ</t>
  </si>
  <si>
    <t>กลุ่มสาขาวิชามนุษย์และสังคม</t>
  </si>
  <si>
    <t>จำนวนอาจารย์ประจำและนักวิจัยประจำไม่นับรวมศึกษาต่อ</t>
  </si>
  <si>
    <t>เกณฑ์ประเมิน</t>
  </si>
  <si>
    <t>ตัวบ่งชี้ที่ 4.3 เงินสนับสนุนงานวิจัยหรืองานสร้างสรรค์ต่อจำนวนอาจารย์ประจำและ                                       นักวิจัยประจำ</t>
  </si>
  <si>
    <t>ค่าคะแนนที่ได้ตัวบ่งชี้ที่ 2.2</t>
  </si>
  <si>
    <t>ค่าคะแนนที่ได้ตัวบ่งชี้ที่ 2.3</t>
  </si>
  <si>
    <t xml:space="preserve">1. มีระบบและกลไกการประกันคุณภาพการจัดการเรียนการสอนที่เน้นผู้เรียนเป็นสำคัญทุกหลักสูตร
</t>
  </si>
  <si>
    <t>2. ทุกรายวิชาของทุกหลักสูตร มีรายละเอียดของรายวิชาและของประสบการณ์ภาคสนาม(ถ้ามี) ก่อนการเปิดสอนในแต่ละภาคการศึกษา ตามที่กำหนดในกรอบมาตรฐานคุณวุฒิระดับอุดมศึกษาแห่งชาติ</t>
  </si>
  <si>
    <t>3. ทุกหลักสูตรมีรายวิชาที่ส่งเสริมทักษะการเรียนรู้ด้วยตนเอง และการให้ผู้เรียนได้เรียนรู้จากการปฏิบัติทั้งในและนอกห้องเรียนหรือจากการทำวิจัย</t>
  </si>
  <si>
    <t>4. มีการให้ผู้มีประสบการณ์ทางวิชาการหรือวิชาชีพจากหน่วยงานหรือชุมชนภายนอกเข้ามามีส่วนร่วมในกระบวนการเรียนการสอนทุกหลักสูตร</t>
  </si>
  <si>
    <t>5. มีการจัดการเรียนรู้ที่พัฒนาจากการวิจัย หรือจากกระบวนการจัดการความรู้เพื่อพัฒนาการเรียนการสอน</t>
  </si>
  <si>
    <t>6. มีการประเมินความพึงพอใจของผู้เรียนที่มีต่อคุณภาพการจัดการเรียนการสอนและสิ่งสนับสนุนการเรียนรูทุ้กรายวิชา ทุกภาคการศึกษา โดยผลการประเมินความพึงพอใจแต่ละรายวิชาต้องไม่ตํ่ากว่า 3.51 จากคะแนนเต็ม 5</t>
  </si>
  <si>
    <t>7. มีการพัฒนาหรือปรับปรุงการจัดการเรียนการสอน กลยุทธ์การสอน หรือการประเมินผลการเรียนรู้ทุกรายวิชาตามผลการประเมินรายวิชา</t>
  </si>
  <si>
    <t>ตัวบ่งชี้ที่ 2.6 ระบบและกลไกการจัดการเรียนการสอน</t>
  </si>
  <si>
    <t>ตัวบ่งชี้ที่ 2.7 ระบบและกลไกการพัฒนาสัมฤทธิผลการเรียนตามคุณลักษณะของบัณฑิต</t>
  </si>
  <si>
    <t>1. มีการสำรวจคุณลักษณะของบัณฑิตที่พึงประสงค์ตามความต้องการของผู้ใช้บัณฑิตอย่างน้อยสำหรับทุกหลักสูตรระดับปริญญาตรี ทุกรอบระยะเวลาตามแผนกำหนดการศึกษาของหลักสูตร</t>
  </si>
  <si>
    <t>2. มีการนำผลจากข้อ 1 มาใช้ในการปรับปรุงหลักสูตร การจัดการเรียนการสอน การวัดผลการศึกษาและสัมฤทธิผลทางการเรียนที่ส่งเสริมทักษะอาชีพและคุณลักษณะของบัณฑิตที่พึงประสงค์ ตามความต้องการของผู้ใช้บัณฑิต</t>
  </si>
  <si>
    <t>3. มีการส่งเสริมสนับสนุนทรัพยากรทั้งด้านบุคลากร เทคโนโลยีสารสนเทศ และงบประมาณที่เอื้อต่อการพัฒนาคุณลักษณะของบัณฑิต</t>
  </si>
  <si>
    <t>4. มีระบบและกลไกการส่งเสริมให้นักศึกษาระดับปริญญาตรีและบัณฑิตศึกษาเข้าร่วมกิจกรรมการประชุมวิชาการหรือนำเสนอผลงานทางวิชาการในที่ประชุมระหว่างสถาบัน หรือที่ประชุมระดับชาติหรือนานาชาติ</t>
  </si>
  <si>
    <t>5. มีกิจกรรมเสริมสร้างคุณธรรมจริยธรรมให้แก่นักศึกษาระดับปริญญาตรีและบัณฑิตศึกษาที่จัดโดยสถาบัน</t>
  </si>
  <si>
    <t>ร้อยละของบัณฑิตที่ได้รับการประเมิน</t>
  </si>
  <si>
    <t>จุดเด่น/จุดที่ควรพัฒนา/ข้อเสนอแนะเพื่อการพัฒนา/แนวปฏิบัติที่ดี</t>
  </si>
  <si>
    <t>จุดที่ควรพัฒนา</t>
  </si>
  <si>
    <t>มหาวิทยาลัยเทคโนโลยีราชมงคลรัตนโกสินทร์</t>
  </si>
  <si>
    <t>คณะวิศวกรรมศาสตร์และสถาปัตยกรรมศาสตร์</t>
  </si>
  <si>
    <t>คณะอุตสาหกรรมและเทคโนโลยี</t>
  </si>
  <si>
    <t>คณะอุตสาหกรรมการโรงแรมและการท่องเที่ยว</t>
  </si>
  <si>
    <t>วิทยาลัยเพาะช่าง</t>
  </si>
  <si>
    <t>วิทยาลัยพลังงานและสิ่งแวดล้อม</t>
  </si>
  <si>
    <t>2.3 อาจารย์ประจำที่ดำรงตำแหน่งทางวิชาการ</t>
  </si>
  <si>
    <t>ตัวบ่งชี้ที่ 2.7 ระบบและกลไกการพัฒนาสัมฤทธิ์ผลการเรียนตามคุณลักษณะของบัณฑิต</t>
  </si>
  <si>
    <t xml:space="preserve"> </t>
  </si>
  <si>
    <t>...</t>
  </si>
  <si>
    <t>ตัวบ่งชี้ที่ 1.1 กระบวนการพัฒนาแผน</t>
  </si>
  <si>
    <t>1. มีการจัดทำแผนกลยุทธ์ที่สอดคล้องกับนโยบายของสภาสถาบัน โดยการมีส่วนร่วมของบุคลากรในสถาบัน และได้รับความเห็นชอบจากสภาสถาบันโดยเป็นแผนที่เชื่อมโยงกับปรัชญา หรือปณิธานและพระราชบัญญัติสถาบัน ตลอดจนสอดคล้องกับจุดเน้นของกลุ่มสถาบัน กรอบแผนอุดมศึกษาระยะยาว 15 ปี ฉบับที่ 2 (พ.ศ.2551 - 2565) และ แผนพัฒนาการศึกษาระดับอุดมศึกษา ฉบับที่ 10 (พ.ศ.2551-2554)</t>
  </si>
  <si>
    <t>2. มีการถ่ายทอดแผนกลยุทธ์ระดับสถาบันไปสู่ทุกหน่วยงานภายใน</t>
  </si>
  <si>
    <t>3. มีกระบวนการแปลงแผนกลยุทธ์เป็นแผนปฏิบัติการประจำปีครบ 4 พันธกิจ คือ ด้านการเรียนการสอน การวิจัย การบริการทางวิชาการ และการทำนุบำรุงศิลปะและวัฒนธรรม</t>
  </si>
  <si>
    <t>4. มีตัวบ่งชี้ของแผนกลยุทธ์ แผนปฏิบัติการประจำปี และค่าเป้าหมายของแต่ละตัวบ่งชี้เพื่อวัดความสำเร็จของการดำเนินงานตามแผนกลยุทธ์และแผนปฏิบัติการประจำปี</t>
  </si>
  <si>
    <t>5. มีการดำเนินงานตามแผนปฏิบัติการประจำปีครบ 4 พันธกิจ</t>
  </si>
  <si>
    <t>6.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และรายงานผลต่อผู้บริหารเพื่อพิจารณา</t>
  </si>
  <si>
    <t>7. มีการประเมินผลการดำเนินงานตามตัวบ่งชี้ของแผนกลยุทธ์ อย่างน้อยปีละ 1 ครั้ง และรายงานผลต่อผู้บริหารและสภาสถาบันเพื่อพิจารณา</t>
  </si>
  <si>
    <t>8. มีการนำผลการพิจารณา ข้อคิดเห็น และข้อเสนอแนะของสภาสถาบันไปปรับปรุงแผนกลยุทธ์และแผนปฏิบัติการประจำปี</t>
  </si>
  <si>
    <t>ตัวบ่งชี้ที่ 1-16.1 ผลการบริหารสถาบันให้เกิดอัตลักษณ์(สมศ.16.1)</t>
  </si>
  <si>
    <t>1. มีการกำหนดกลยุทธ์ และแผนการปฏิบัติงานที่สอดคล้องกับอัตลักษณ์ของสถานศึกษาระดับอุดมศึกษา โดยได้รับการเห็นชอบจากสภาสถาบัน</t>
  </si>
  <si>
    <t>2. มีการสร้างระบบการมีส่วนร่วมของผู้เรียนและบุคลากรในการปฏิบัติตามกลยุทธ์ที่กำหนดอย่างครบถ้วนสมบูรณ์</t>
  </si>
  <si>
    <t>3. ผลการประเมินความเห็นของผู้เรียนและบุคลากรเกี่ยวกับการปฏิบัติงานของสถานศึกษาที่สอดคล้องกับอัตลักษณ์ ไม่ต่ำกว่า 3.51 จากคะแนนเต็ม 5</t>
  </si>
  <si>
    <t>4. ผลการดำเนินงานก่อให้เกิดผลกระทบที่เป็นประโยชน์และ/หรือสร้างคุณค่าต่อสังคม</t>
  </si>
  <si>
    <t>5. ผู้เรียน/บุคลากร/คณะ/สถานศึกษา ได้รับการยกย่องในระดับชาติและ/หรือนานาชาติ ในประเด็นที่เกี่ยวกับอัตลักษณ์</t>
  </si>
  <si>
    <t>ตัวบ่งชี้ที่ 1-17 ผลการพัฒนาตามจุดเน้นและจุดเด่นที่ส่งผลสะท้อนเป็นเอกลักษณ์ของสถาบัน "ศิลปวิทยาการ สู่สังคม"(สมศ.17)</t>
  </si>
  <si>
    <t>1. มีการกำหนดกลยุทธ์การปฏิบัติงานที่สอดคล้องกับจุดเน้น จุดเด่น หรือความเชี่ยวชาญเฉพาะของสถาบัน โดยได้รับการเห็นชอบจากสภาสถาบัน</t>
  </si>
  <si>
    <t>3. ผลการประเมินความพึงพอใจของบุคลากรเกี่ยวกับการดำเนินการตามจุดเน้น และจุดเด่นหรือความเชี่ยวชาญเฉพาะของสถาบันอยู่ในระดับตั้งแต่ 3.51 ขึ้นไปจากคะแนนเต็ม 5</t>
  </si>
  <si>
    <t>4. ผลการดำเนินงานบรรลุตามจุดเน้น จุดเด่น หรือความเชี่ยวชาญเฉพาะของสถานศึกษา และเกิดผลกระทบที่เกิดประโยชน์และสร้างคุณค่าต่อสังคม</t>
  </si>
  <si>
    <t>5. ผู้เรียน/บุคลากร/คณะ/สถานศึกษา มีเอกลักษณ์ตามจุดเน้น จุดเด่น หรือความเชี่ยวชาญเฉพาะที่กำหนด และได้รับการยกย่องในระดับชาติและ/หรือนานาชาติ</t>
  </si>
  <si>
    <t>สรุปผลการประเมิน</t>
  </si>
  <si>
    <t>สรุปผลการประเมินแนวทางที่ 1</t>
  </si>
  <si>
    <t>สรุปผลการประเมินแนวทางที่ 2</t>
  </si>
  <si>
    <t>ตัวบ่งชี้ที่ 2.4 ระบบการพัฒนาคณาจารย์และบุคลากรสายสนับสนุน</t>
  </si>
  <si>
    <t xml:space="preserve">1. มีแผนการบริหารและการพัฒนาคณาจารย์ทั้งด้านวิชาการ เทคนิคการสอนและการวัดผล และมีแผนการบริหารและพัฒนาบุคลากรสายสนับสนุนที่มีการวิเคราะห์ข้อมูลเชิงประจักษ์
</t>
  </si>
  <si>
    <t>2. มีการบริหารและการพัฒนาคณาจารย์และบุคลากรสายสนับสนุนให้เป็นไปตามแผนที่กำหนด</t>
  </si>
  <si>
    <t>3. มีสวัสดิการเสริมสร้างสุขภาพที่ดี และสร้างขวัญและกำลังใจให้คณาจารย์และบุคลากรสายสนับสนุนสามารถทำงานได้อย่างมีประสิทธิภาพ</t>
  </si>
  <si>
    <t>4. มีระบบการติดตามให้คณาจารย์และบุคลากรสายสนับสนุนนำความรู้และทักษะที่ได้จากการพัฒนามาใช้ในการจัดการเรียนการสอนและการวัดผลการเรียนรู้ของนักศึกษาตลอดจนการปฏิบัติงานที่เกี่ยวข้อง</t>
  </si>
  <si>
    <t>5. มีการให้ความรู้ด้านจรรยาบรรณอาจารย์และบุคลากรสายสนับสนุน และดูแลควบคุมให้คณาจารย์และบุคลากรสายสนับสนุนถือปฏิบัติ</t>
  </si>
  <si>
    <t>6. มีการประเมินผลความสำเร็จของแผนการบริหารและการพัฒนาคณาจารย์และบุคลากรสายสนับสนุน</t>
  </si>
  <si>
    <t>7. มีการนำผลการประเมินไปปรับปรุงแผนหรือปรับปรุงการบริหารและการพัฒนาคณาจารย์และบุคลากรสายสนับสนุน</t>
  </si>
  <si>
    <t>ตัวบ่งชี้ที่ 2.5 ห้องสมุด อุปกรณ์การศึกษา และสภาพแวดล้อมการเรียนรู้</t>
  </si>
  <si>
    <t xml:space="preserve">1. มีการจัดการหรือจัดบริการเพื่อให้นักศึกษามีเครื่องคอมพิวเตอร์ใช้ในอัตราไม่สูงกว่า 8 FTES ต่อเครื่อง
</t>
  </si>
  <si>
    <t>2. มีบริการห้องสมุดและแหล่งเรียนรู้อื่นๆ ผ่านระบบเครือข่ายคอมพิวเตอร์ และมีการฝึกอบรมการใช้งานแก่นักศึกษาทุกปีการศึกษา</t>
  </si>
  <si>
    <t>3. มีบริการด้านกายภาพที่เหมาะสมต่อการจัดการเรียนการสอนและการพัฒนานักศึกษาอย่างน้อยในด้านห้องเรียน ห้องปฏิบัติการ อุปกรณ์การศึกษา และจุดเชื่อมต่ออินเตอร์เน็ต</t>
  </si>
  <si>
    <t>4. มีบริการสิ่งอำนวยความสะดวกที่จำเป็นอื่นๆ อย่างน้อยในด้านงานทะเบียนนักศึกษาผ่านระบบเครือข่ายคอมพิวเตอร์ การบริการอนามัยและการรักษาพยาบาล การจัดการหรือจัดบริการด้านอาหาร และสนามกีฬา</t>
  </si>
  <si>
    <t>5. มีระบบสาธารณูปโภคและรักษาความปลอดภัยของอาคารตลอดจนบริเวณโดยรอบอย่างน้อยในเรื่องประปา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รวมทั้งมีระบบและอุปกรณ์ป้องกันอัคคีภัยในบริเวณอาคารต่าง ๆ โดยเป็นไปตามกฎหมายที่เกี่ยวข้อง</t>
  </si>
  <si>
    <t>6. มีผลการประเมินคุณภาพของบริการในข้อ 2 – 5 ทุกข้อไม่ตํ่ากว่า 3.51 จากคะแนนเต็ม 5</t>
  </si>
  <si>
    <t>7. มีการนำผลการประเมินคุณภาพในข้อ 6 มาใช้เป็นข้อมูลในการพัฒนาการจัดบริการด้านกายภาพที่สนองความต้องการของผู้รับบริการ</t>
  </si>
  <si>
    <t>ตัวบ่งชี้ที่ 2.8 ระดับความสำเร็จของการเสริมสร้างคุณธรรมจริยธรรมที่จัดให้นักศึกษา</t>
  </si>
  <si>
    <t>2. มีการถ่ายทอดหรือเผยแพร่พฤติกรรมด้านคุณธรรมจริยธรรมสำหรับนักศึกษาที่ต้องการส่งเสริมตามข้อ 1 ไปยังผู้บริหาร คณาจารย์ นักศึกษาและผู้เกี่ยวข้องทราบอย่างทั่วถึงทั้งสถาบัน</t>
  </si>
  <si>
    <t>3. มีโครงการหรือกิจกรรมส่งเสริมการพัฒนาพฤติกรรมด้านคุณธรรมจริยธรรมที่กำหนดในข้อ 1 โดยระบุตัวบ่งชี้และเป้าหมายวัดความสำเร็จ</t>
  </si>
  <si>
    <t>4. มีการประเมินผลโครงการหรือกิจกรรมส่งเสริมคุณธรรมจริยธรรมของนักศึกษาตามตัวบ่งชี้และเป้าหมายที่กำหนดในข้อ 3 โดยมีผลการประเมินบรรลุเป้าหมายอย่างน้อยร้อยละ 90 ของตัวบ่งชี้</t>
  </si>
  <si>
    <t>5. มีนักศึกษาหรือกิจกรรมที่เกี่ยวกับนักศึกษาได้รับการยกย่องชมเชย ประกาศเกียรติคุณด้านคุณธรรมจริยธรรม โดยหน่วยงานหรือองค์กรระดับชาติ</t>
  </si>
  <si>
    <t>ตัวบ่งชี้ที่ 2-1 บัณฑิตปริญญาตรีที่ได้งานทำหรือประกอบอาชีพอิสระภายใน 1 ปี                                                 ระดับอุดมศึกษาแห่งชาติ(สมศ. 1)</t>
  </si>
  <si>
    <t>จำนวนบัณฑิตระดับปริญญาตรีที่สำเร็จการศึกษาทั้งหมด</t>
  </si>
  <si>
    <t>ร้อยละของผู้ตอบแบบสำรวจเทียบกับผู้สำเร็จการศึกษาทั้งหมด</t>
  </si>
  <si>
    <t>ร้อยละของบัณฑิตปริญญาตรีที่ได้งานทำหรือประกอบอาชีพอิสระภายใน 1 ปี</t>
  </si>
  <si>
    <t>จำนวนบัณฑิตที่ได้ตอบแบบสำรวจทั้งหมด</t>
  </si>
  <si>
    <t>จำนวนบัณฑิตปริญญาตรีที่ได้งานทำหรือประกอบอาชีพอิสระภายใน 1 ปี</t>
  </si>
  <si>
    <t>จำนวนบัณฑิตระดับปริญญาตรีที่ตอบแบบสำรวจเรื่องการมีงานทำ</t>
  </si>
  <si>
    <t>จำนวนบัณฑิตระดับปริญญาตรีที่ได้งานทำหลังสำเร็จการศึกษา(ไม่นับรวมผู้ประกอบอาชีพอิสระ)</t>
  </si>
  <si>
    <t>จำนวนบัณฑิตระดับปริญญาตรีที่ประกอบอาชีพอิสระ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</si>
  <si>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</si>
  <si>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จำนวนบัณฑิตระดับปริญญาตรีที่มีกิจการของตนเองที่มีรายได้ประจำอยู่แล้ว</t>
  </si>
  <si>
    <t>จำนวนบัณฑิตระดับปริญญาตรีที่ศึกษาต่อระดับบัณฑิตศึกษา</t>
  </si>
  <si>
    <t>จำนวณบัณฑิตระดับปริญญาตรีที่อุปสมบท</t>
  </si>
  <si>
    <t>จำนวนบัณฑิตระดับปริญญาตรีที่เกณฑ์ทหาร</t>
  </si>
  <si>
    <t>ระดับปริญญาตรี</t>
  </si>
  <si>
    <t>ระดับปริญญาโท</t>
  </si>
  <si>
    <t>ระดับปริญญาเอก</t>
  </si>
  <si>
    <t>จำนวนบัณฑิตที่ได้รับการประเมินคุณภาพบัณฑิตตามกรอบ TQF</t>
  </si>
  <si>
    <t>คุณภาพของบัณฑิตปริญญาตรี โทและเอก ตามกรอบTQF</t>
  </si>
  <si>
    <t>ข้อมูล(เฉพาะปี 55)</t>
  </si>
  <si>
    <t>ตัวบ่งชี้ที่ 3.1 ระบบและกลไกการให้คำปรึกษาและบริการด้านข้อมูลข่าวสาร</t>
  </si>
  <si>
    <t>1. มีการจัดบริการให้คำปรึกษาทางวิชาการและแนะแนวการใช้ชีวิตแก่นักศึกษา</t>
  </si>
  <si>
    <t>2. มีการจัดบริการข้อมูลข่าวสารที่เป็นประโยชน์ต่อนักศึกษา</t>
  </si>
  <si>
    <t>3. มีการจัดกิจกรรมเพื่อพัฒนาประสบการณ์ทางวิชาการและวิชาชีพแก่นักศึกษา</t>
  </si>
  <si>
    <t>4. มีการจัดบริการข้อมูลข่าวสารที่เป็นประโยชน์ต่อศิษย์เก่า</t>
  </si>
  <si>
    <t>5. มีการจัดกิจกรรมเพื่อพัฒนาความรู้และประสบการณ์ให้ศิษย์เก่า</t>
  </si>
  <si>
    <t>6. มีผลการประเมินคุณภาพของการให้บริการในข้อ 1 – 3 ทุกข้อไม่ตํ่ากว่า 3.51 จากคะแนนเต็ม 5</t>
  </si>
  <si>
    <t>7. มีการนำผลการประเมินคุณภาพของการให้บริการมาใช้เป็นข้อมูลในการพัฒนาการจัดบริการที่สนองความต้องการของนักศึกษา</t>
  </si>
  <si>
    <t>ตัวบ่งชี้ที่ 3.2 ระบบและกลไกการส่งเสริมกิจกรรมนักศึกษา</t>
  </si>
  <si>
    <t>1. สถาบันจัดทำแผนการจัดกิจกรรมพัฒนานักศึกษาที่ส่งเสริมผลการเรียนรู้ตามกรอบมาตรฐานคุณวุฒิระดับอุดมศึกษาแห่งชาติทุกด้าน</t>
  </si>
  <si>
    <t>2. มีกิจกรรมให้ความรู้และทักษะการประกันคุณภาพการศึกษาแก่นักศึกษา</t>
  </si>
  <si>
    <t>3. มีการส่งเสริมให้นักศึกษานำความรู้ด้านการประกันคุณภาพไปใช้ในการจัดกิจกรรมที่ดำเนินการโดยนักศึกษาอย่างน้อย 5 ประเภทสำหรับระดับปริญญาตรี และอย่างน้อย 2 ประเภทสำหรับระดับบัณฑิตศึกษา จากกิจกรรมต่อไปนี้
- กิจกรรมวิชาการที่ส่งเสริมคุณลักษณะบัณฑิตที่พึงประสงค์
- กิจกรรมกีฬาหรือการส่งเสริมสุขภาพ
- กิจกรรมบำเพ็ญประโยชน์หรือรักษาสิ่งแวดล้อม
- กิจกรรมเสริมสร้างคุณธรรมและจริยธรรม
- กิจกรรมส่งเสริมศิลปะและวัฒนธรรม</t>
  </si>
  <si>
    <t>4. มีการสนับสนุนให้นักศึกษาสร้างเครือข่ายพัฒนาคุณภาพภายในสถาบันและระหว่างสถาบัน และมีกิจกรรมร่วมกัน</t>
  </si>
  <si>
    <t>5. มีการประเมินความสำเร็จตามวัตถุประสงค์ของแผนการจัดกิจกรรมพัฒนานักศึกษา</t>
  </si>
  <si>
    <t>6. มีการนำผลการประเมินไปปรับปรุงแผนหรือปรับปรุงการจัดกิจกรรมเพื่อพัฒนานักศึกษา</t>
  </si>
  <si>
    <t>ข้อ1</t>
  </si>
  <si>
    <t>ข้อ2</t>
  </si>
  <si>
    <t>ข้อ3</t>
  </si>
  <si>
    <t>ข้อ4</t>
  </si>
  <si>
    <t>ข้อ5</t>
  </si>
  <si>
    <t>ข้อ6</t>
  </si>
  <si>
    <t>ข้อ7</t>
  </si>
  <si>
    <t>ข้อ8</t>
  </si>
  <si>
    <t>ตัวบ่งชี้ที่ 4.1 ระบบและกลไกการพัฒนางานวิจัยหรืองานสร้างสรรค์</t>
  </si>
  <si>
    <t>1. มีระบบและกลไกบริหารงานวิจัยหรืองานสร้างสรรค์ เพื่อให้บรรลุเป้าหมายตามแผนด้านการวิจัยของสถาบัน และดำเนินการตามระบบที่กำหนด</t>
  </si>
  <si>
    <t>2. มีการบูรณาการกระบวนการวิจัยหรืองานสร้างสรรค์กับการจัดการเรียนการสอน</t>
  </si>
  <si>
    <t>3. มีการพัฒนาศักยภาพด้านการวิจัยหรืองานสร้างสรรค์และให้ความรู้ด้านจรรยาบรรณการวิจัยแก่อาจารย์ประจำและนักวิจัยประจำ</t>
  </si>
  <si>
    <t>4. มีการจัดสรรงบประมาณของสถาบัน เพื่อเป็นทุนวิจัยหรืองานสร้างสรรค์</t>
  </si>
  <si>
    <t>5. มีการสนับสนุนพันธกิจด้านการวิจัยหรืองานสร้างสรรค์ตามอัตลักษณ์ของสถาบันอย่างน้อยในประเด็นต่อไปนี้
• ห้องปฏิบัติการวิจัยฯ หรือหน่วยวิจัยฯ หรือศูนย์เครื่องมือ หรือศูนย์ให้คำปรึกษาและสนับสนุนการวิจัยฯ
• ห้องสมุดหรือแหล่งค้นคว้าข้อมูลสนับสนุนการวิจัยฯ
• สิ่งอำนวยความสะดวกหรือการรักษาความปลอดภัยในการวิจัยฯ เช่น ระบบเทคโนโลยีสารสนเทศ ระบบรักษาความปลอดภัยในห้องปฏิบัติการวิจัย
• กิจกรรมวิชาการที่ส่งเสริมงานวิจัยฯ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</si>
  <si>
    <t>6. มีการติดตามและประเมินผลการสนับสนุนในข้อ 4 และข้อ 5 อย่างครบถ้วนทุกประเด็น</t>
  </si>
  <si>
    <t>7. มีการนำผลการประเมินไปปรับปรุงการสนับสนุนพันธกิจด้านการวิจัยหรืองานสร้างสรรค์ของสถาบัน</t>
  </si>
  <si>
    <t xml:space="preserve">8. มีระบบและกลไกเพื่อสร้างงานวิจัยหรืองานสร้างสรรค์บนพื้นฐานภูมิปัญญาท้องถิ่นหรือจากสภาพปัญหาของสังคม เพื่อตอบสนองความต้องการของท้องถิ่นและสังคมและดำเนินการตามระบบที่กำหนด </t>
  </si>
  <si>
    <t>ตัวบ่งชี้ที่ 4.2 ระบบและกลไกการจัดการความรู้จากงานวิจัยหรืองานสร้างสรรค์</t>
  </si>
  <si>
    <t>1. มีระบบและกลไก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 และมี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</t>
  </si>
  <si>
    <t>2. มีระบบและกลไกการรวบรวม คัดสรร วิเคราะห์และสังเคราะห์ความรู้จากงานวิจัยหรืองานสร้างสรรค์ เพื่อให้เป็นองค์ความรู้ที่คนทั่วไปเข้าใจได้ และดำเนินการตามระบบที่กำหนด</t>
  </si>
  <si>
    <t>3. มีการประชาสัมพันธ์และเผยแพร่องค์ความรู้จากงานวิจัยหรืองานสร้างสรรค์ที่ได้จากข้อ 2 สู่สาธารณชนและผู้เกี่ยวข้อง</t>
  </si>
  <si>
    <t>4. มีการนำผลงานงานวิจัยหรืองานสร้างสรรค์ไปใช้ให้เกิดประโยชน์ และมีการรับรองการใช้ประโยชน์จริงจากหน่วยงานภายนอกหรือชุมชน</t>
  </si>
  <si>
    <t>5. มีระบบและกลไกเพื่อช่วยในการคุ้มครองสิทธิ์ของงานวิจัยหรืองานสร้างสรรค์ที่นำไปใช้ประโยชน์ และดำเนินการตามระบบที่กำหนด</t>
  </si>
  <si>
    <t>สมศ.6 งานวิจัยหรืองานสร้างสรรค์ที่นำไปใช้ประโยชน์</t>
  </si>
  <si>
    <t>จำนวนงานวิจัยหรืองานสร้างสรรค์ที่นำไปใช้ประโยชน์</t>
  </si>
  <si>
    <t>การใช้ประโยชน์ในเชิงสาธารณะ</t>
  </si>
  <si>
    <t>การใช้ประโยชน์ในเชิงนโยบาย</t>
  </si>
  <si>
    <t>การใช้ประโยชน์ในเชิงพาณิชย์</t>
  </si>
  <si>
    <t>การใช้ประโยชน์ทางอ้อมของงานสร้างสรรค์</t>
  </si>
  <si>
    <t>งานวิจัยหรืองานสร้างสรรค์ที่นำไปใช้ประโยชน์</t>
  </si>
  <si>
    <t>ตัวบ่งชี้ที่4-6 งานวิจัยหรืองานสร้างสรรค์ที่นำไปใช้ประโยชน์ (สมศ.6)</t>
  </si>
  <si>
    <t>ตัวบ่งชี้ที่4-5 งานวิจัยหรืองานสร้างสรรค์ที่ได้รับการตีพิมพ์หรือเผยแพร่(สมศ. 5)</t>
  </si>
  <si>
    <t>ผลรวมของจำนวนงานวิจัยหรืองานสร้างสรรค์ที่นำไปใช้ประโยชน์</t>
  </si>
  <si>
    <t>ร้อยละของงานวิจัยหรืองานสร้างสรรค์ของอาจารย์ประจำและนักวิจัยประจำที่นำไปใช้ประโยชน์</t>
  </si>
  <si>
    <t>สมศ.7 ผลงานวิชาการที่ได้รับการรับรองคุณภาพ</t>
  </si>
  <si>
    <t>จำนวนผลงานวิชาการที่ได้รับการรับรองคุณภาพ</t>
  </si>
  <si>
    <t>บทความวิชาการที่ได้รับการตีพิมพ์ในวารสารระดับชาติ</t>
  </si>
  <si>
    <t>บทความวิชาการที่ได้รับการตีพิมพ์ในวารสารระดับนานาชาติ</t>
  </si>
  <si>
    <t>ตำราที่มีการประเมินผ่านตามเกณฑ์โดยผู้ทรงคุณวุฒิที่มหาวิทยาลัยกำหนด</t>
  </si>
  <si>
    <t>หนังสือที่มีการประเมินผ่านตามเกณฑ์โดยผู้ทรงคุณวุฒิที่มหาวิทยาลัยกำหนด</t>
  </si>
  <si>
    <t>ตำราที่ใช้ในการขอผลงานทางวิชาการและผ่านการพิจารณาตามเกณฑ์การขอตำแหน่งทางวิชาการแล้ว</t>
  </si>
  <si>
    <t>หนังสือที่ใช้ในการขอผลงานทางวิชาการและผ่านการพิจารณาตามเกณฑ์การขอตำแหน่งทางวิชาการแล้ว</t>
  </si>
  <si>
    <t>ตำราที่มีคุณภาพสูงที่มีผู้ทรงคุณวุฒิตรวจอ่านตามเกณฑ์การขอตำแหน่งทางวิชาการ</t>
  </si>
  <si>
    <t>หนังสือที่มีคุณภาพสูงที่มีผู้ทรงคุณวุฒิตรวจอ่านตามเกณฑ์การขอตำแหน่งทางวิชาการ</t>
  </si>
  <si>
    <t>ตัวบ่งชี้ที่4-7 ผลงานวิชาการที่ได้รับการรับรองคุณภาพ (สมศ.7)</t>
  </si>
  <si>
    <t>ร้อยละของงานทางวิชาการที่ได้รับรองคุณภาพ</t>
  </si>
  <si>
    <t>ผลรวมถ่วงน้ำหนักของผลงานวิชาการที่ได้รับรองคุณภาพ</t>
  </si>
  <si>
    <t>เกณฑ์</t>
  </si>
  <si>
    <t>ตัวบ่งชี้ที่ 5.1 ระบบและกลไกการบริการวิชาการแก่สังคม</t>
  </si>
  <si>
    <t>1. มีระบบและกลไกการบริการทางวิชาการแก่สังคม และดำเนินการตามระบบที่กำหนด</t>
  </si>
  <si>
    <t>2. มีการบูรณาการงานบริการทางวิชาการแก่สังคมกับการเรียนการสอน</t>
  </si>
  <si>
    <t>3. มีการบูรณาการงานบริการทางวิชาการแก่สังคมกับการวิจัย</t>
  </si>
  <si>
    <t>4. มีการประเมินผลความสำเร็จของการบูรณาการงานบริการทางวิชาการแก่สังคมกับการเรียนการสอนและการวิจัย</t>
  </si>
  <si>
    <t>5. มีการนำผลการประเมินไปปรับปรุงการบูรณาการงานบริการทางวิชาการแก่สังคมกับการเรียนการสอนและการวิจัย</t>
  </si>
  <si>
    <t>ตัวบ่งชี้ที่ 5.2 กระบวนการบริการทางวิชาการให้เกิดประโยชน์ต่อสังคม</t>
  </si>
  <si>
    <t>1. มีการสำรวจความต้องการของชุมชน หรือภาครัฐ หรือภาคเอกชน หรือหน่วยงานวิชาชีพ เพื่อประกอบการกำหนดทิศทางและการจัดทำแผนการบริการทางวิชาการตามจุดเน้นของสถาบัน</t>
  </si>
  <si>
    <t>2. มีความร่วมมือด้านบริการทางวิชาการเพื่อการเรียนรู้และเสริมสร้างความเข้มแข็งของชุมชน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</t>
  </si>
  <si>
    <t>3. มีการประเมินประโยชน์หรือผลกระทบของการให้บริการทางวิชาการต่อสังคม</t>
  </si>
  <si>
    <t>4. มีการนำผลการประเมินในข้อ 3 ไปพัฒนาระบบและกลไก หรือกิจกรรมการให้บริการทางวิชาการ</t>
  </si>
  <si>
    <t>5. มีการพัฒนาความรู้ที่ได้จากการให้บริการทางวิชาการและถ่ายทอดความรู้สู่บุคลากรภายในสถาบันและเผยแพร่สู่สาธารณชน</t>
  </si>
  <si>
    <t>ตัวบ่งชี้ที่ 5-8 ผลการนำความรู้และประสบการณ์จากการให้บริการวิชาการมาใช้ในการพัฒนาการเรียนการสอนและ/หรือการวิจัย</t>
  </si>
  <si>
    <t>สมศ.8 ผลการนำความรู้และประสบการณ์จากการให้บริการวิชาการมาใช้ในการพัฒนาการเรียนการสอนและ/หรือการวิจัย</t>
  </si>
  <si>
    <t>จำนวนโครงการ/กิจกรรมบริการวิชาการทั้งหมด (ตามแผนที่สภามหาวิทยาลัยอนุมัติ)</t>
  </si>
  <si>
    <t>โครงการ/กิจกรรม</t>
  </si>
  <si>
    <t>จำนวนโครงการ/กิจกรรมบริการวิชาการที่นำมาใช้ในการพัฒนาการเรียนการสอนและการวิจัย</t>
  </si>
  <si>
    <t>จำนวนโครงการ/กิจกรรมบริการวิชาการที่นำมาใช้ในการพัฒนาการเรียนการสอน</t>
  </si>
  <si>
    <t>จำนวนโครงการ/กิจกรรมบริการวิชาการที่นำมาใช้ในการพัฒนาการวิจัย</t>
  </si>
  <si>
    <t>จำนวนโครงการ/กิจกรรมบริการวิชาการที่นำมาใช้ในการพัฒนาทั้งการเรียนการสอนและการวิจัย</t>
  </si>
  <si>
    <t>ร้อยละของโครงการ/กิจกรรมบริการวิชาการที่นำมาใช้ในการพัฒนาการเรียนการสอนและการวิจัย</t>
  </si>
  <si>
    <t>จำนวนโครงการ/กิจกรรมบริการวิชาการทั้งหมด(สภาอนุมัติ)</t>
  </si>
  <si>
    <t>จำนวนโครงการ/กิจกรรมบริการวิชาการที่นำมาพัฒนาการเรียนการสอนและการวิจัย</t>
  </si>
  <si>
    <t>ร้อยละโครงการ/กิจกรรมบริการวิชาการที่นำมาใช้ในการเรียนการสอนและการวิจัย</t>
  </si>
  <si>
    <t>โครงการ</t>
  </si>
  <si>
    <t>หมายเหตุ :::  ต้องมีโครงการ/กิจกรรมที่นำมาบูรณาการทั้งการเรียนการสอนและการวิจัย มีอย่างหนึ่งอย่างใดไม่ได้</t>
  </si>
  <si>
    <t>ตัวบ่งชี้ที่ 5-9 ผลการเรียนรู้และเสริมสร้างความเข้มแข็งของชุมชนหรือองค์กรภายนอก(สมศ.9)</t>
  </si>
  <si>
    <t>1. มีการดำเนินงานตามวงจรคุณภาพ (PDCA) โดยการมีส่วนร่วมของชุมชนหรือองค์กร</t>
  </si>
  <si>
    <t>2. บรรลุเป้าหมายตามแผนประจำปีไม่ตำกว่าร้อยละ 80</t>
  </si>
  <si>
    <t>3. ชุมชนหรือองค์กรมีผู้นำหรือสมาชิกที่มีการเรียนรู้และดำเนินกิจกรรมอย่างต่อเนื่อง</t>
  </si>
  <si>
    <t xml:space="preserve">4 ชุมชนหรือองค์กรสร้างกลไกที่มีการพัฒนาตนเองโดยคงอัตลักษณ์และวัฒนธรรมของชุมชนและเอกลักษณ์ของท้องถิ่นอย่างต่อเนื่องและยั่งยืน </t>
  </si>
  <si>
    <t>5. มีผลกระทบที่เกิดประโยชน์สร้างคุณค่าต่อสังคม หรือชุมชน/องค์กรมีความเข้มแข็ง</t>
  </si>
  <si>
    <t>ตัวบ่งชี้ที่ 5-18.1 ผลการชี้นำ ป้องกัน หรือแก้ปัญหาของสังคมในด้านต่าง ๆ 
                              (ภายในมหาวิทยาลัย)(สมศ18.1)</t>
  </si>
  <si>
    <t>1. มีการดำเนินการตามวงจรคุณภาพ (PDCA)</t>
  </si>
  <si>
    <t>2. บรรลุเป้าเหมายตามแผนประจำปีไม่ต่ำกว่าร้อยละ 80</t>
  </si>
  <si>
    <t>3. มีประโยชน์และสร้างคุณค่าต่อคนในสถาบัน</t>
  </si>
  <si>
    <t>4.  มีผลกระทบที่เกิดประโยชน์และสร้างคุณค่าต่อสถาบัน</t>
  </si>
  <si>
    <t>5. ได้รับการยกย่องระดับชาติและ/หรือนานาชาติ</t>
  </si>
  <si>
    <t>ตัวบ่งชี้ที่ 5-18.2 ผลการชี้นำ ป้องกัน หรือแก้ปัญหาของสังคมในด้านต่าง ๆ 
                              (ภายนอกมหาวิทยาลัย)(สมศ18.2)</t>
  </si>
  <si>
    <t>3. มีประโยชน์และสร้างคุณค่าต่อคนในชุมชน</t>
  </si>
  <si>
    <t>4. มีผลกระทบที่เกิดประโยชน์และสร้างคุณค่าต่อชุมชนหรือสังคม</t>
  </si>
  <si>
    <t>ตัวบ่งชี้ที่  6.1 ระบบและกลไกการทำนุบำรุงศิลปะและวัฒนธรรม</t>
  </si>
  <si>
    <t>1. มีระบบและกลไกการทำนุบำรุงศิลปะและวัฒนธรรม และดำเนินการตามระบบที่กำหนด</t>
  </si>
  <si>
    <t>2. มีการบูรณาการงานด้านทำนุบำรุงศิลปะและวัฒนธรรมกับการจัดการเรียนการสอนและกิจกรรมนักศึกษา</t>
  </si>
  <si>
    <t>3. มีการเผยแพร่กิจกรรมหรือการบริการด้านทำนุบำรุงศิลปะและวัฒนธรรมต่อสาธารณชน</t>
  </si>
  <si>
    <t>4. มีการประเมินผลความสำเร็จของการบูรณาการงานด้านทำนุบำรุงศิลปะและวัฒนธรรมกับการจัดการเรียนการสอนและกิจกรรมนักศึกษา</t>
  </si>
  <si>
    <t>5. มีการนำผลการประเมินไปปรับปรุงการบูรณาการงานด้านทำนุบำรุงศิลปะและวัฒนธรรมกับการจัดการเรียนการสอนและกิจกรรมนักศึกษา</t>
  </si>
  <si>
    <t>6. มีการกำหนดหรือสร้างมาตรฐานคุณภาพด้านศิลปะและวัฒนธรรมและมีผลงานเป็นที่ยอมรับในระดับชาติ</t>
  </si>
  <si>
    <t>ตัวบ่งชี้ที่ 6-10 การส่งเสริมและสนับสนุนศิลปะและวัฒนธรรม(สมศ.10)</t>
  </si>
  <si>
    <t>1. มีการดำเนินงานตามวงจรคุณภาพ (PDCA)</t>
  </si>
  <si>
    <t>3. มีการดำเนินงานสม่ำเสมออย่างต่อเนื่อง</t>
  </si>
  <si>
    <t>4. เกิดประโยชน์และสร้างคุณค่าต่อชุมชนภายใน/ภายนอก</t>
  </si>
  <si>
    <t>ตัวบ่งชี้ที่ 6-11 การพัฒนาสุนทรียภาพในมิติทางศิลปะและวัฒนธรรม(สมศ.11)</t>
  </si>
  <si>
    <t>1. การมีส่วนร่วมของบุคลากรในสถาบันที่ก่อให้เกิดวัฒนธรรมที่ดี</t>
  </si>
  <si>
    <t>2. สิ่งแวดล้อม และความปลอดภัยของอาคารสถานที่ สะอาด ถูกสุขลักษณะ และตกแต่งอย่างมีความสุนทรีย์</t>
  </si>
  <si>
    <t>3. ปรับแต่งและรักษาภูมิทัศน์ให้สวยงาม สอดคล้องกับธรรมชาติ และเป็นมิตรกับสิ่งแวดล้อม</t>
  </si>
  <si>
    <t>4. การจัดให้มีพื้นที่และกิจกรรมทางวัฒนธรรมที่เอื้อและส่งเสริมให้นักศึกษาและบุคลากรมีส่วนร่วมอย่างสม่ำเสมอ</t>
  </si>
  <si>
    <t>5. ระดับความพึงพอใจของบุคลากรและนักศึกษาไม่ต่ำกว่า 3.51 จากคะแนนเต็ม 5</t>
  </si>
  <si>
    <t>ตัวบ่งชี้ที่ 7.1 ภาวะผู้นำของสภาสถาบันและผู้บริหารทุกระดับของสถาบัน</t>
  </si>
  <si>
    <t>1. สภาสถาบันปฏิบัติหน้าที่ตามที่กฎหมายกำหนดครบถ้วนและมีการประเมินตนเองตามหลักเกณฑ์ที่กำหนดล่วงหน้า</t>
  </si>
  <si>
    <t>2. ผู้บริหารมีวิสัยทัศน์ กำหนดทิศทางการดำเนินงาน และสามารถถ่ายทอดไปยังบุคลากรทุกระดับ มีความสามารถในการวางแผนกลยุทธ์ มีการนำข้อมูลสารสนเทศเป็นฐานในการปฏิบัติงานและพัฒนาสถาบัน</t>
  </si>
  <si>
    <t>3. ผู้บริหารมีการกำกับ ติดตามและประเมินผลการดำเนินงานตามที่มอบหมาย รวมทั้งสามารถสื่อสารแผนและผลการดำเนินงานของสถาบันไปยังบุคลากรในสถาบัน</t>
  </si>
  <si>
    <t>4. ผู้บริหารสนับสนุนให้บุคลากรในสถาบันมีส่วนร่วมในการบริหารจัดการ ให้อำนาจในการตัดสินใจแก่บุคลากรตามความเหมาะสม</t>
  </si>
  <si>
    <t>5. ผู้บริหารถ่ายทอดความรู้และส่งเสริมพัฒนาผู้ร่วมงาน เพื่อให้สามารถทำงานบรรลุวัตถุประสงค์ของสถาบันเต็มตามศักยภาพ</t>
  </si>
  <si>
    <t>6. ผู้บริหารบริหารงานด้วยหลักธรรมาภิบาล โดยคำนึงถึงประโยชน์ของสถาบันและผู้มีส่วนได้ส่วนเสีย</t>
  </si>
  <si>
    <t>7. สภาสถาบันประเมินผลการบริหารงานของสถาบันและผู้บริหารนำผลการประเมินไปปรับปรุงการบริหารงานอย่างเป็นรูปธรรม</t>
  </si>
  <si>
    <t>ตัวบ่งชี้ที่ 7.2 การพัฒนาสถาบันสู่สถาบันเรียนรู้</t>
  </si>
  <si>
    <t>1. มีการกำหนดประเด็นความรู้และเป้าหมายของการจัดการความรู้ที่สอดคล้องกับแผนกลยุทธ์ของสถาบันอย่างน้อยครอบคลุมพันธกิจด้านการผลิตบัณฑิตและด้านการวิจัย</t>
  </si>
  <si>
    <t>2. กำหนดบุคลากรกลุ่มเป้าหมายที่จะพัฒนาความรู้และทักษะด้านการผลิตบัณฑิตและด้านการวิจัยอย่างชัดเจนตามประเด็นความรู้ที่กำหนดในข้อ 1</t>
  </si>
  <si>
    <t>3. มีการแบ่งปันและแลกเปลี่ยนเรียนรู้จากความรู้ทักษะของผู้มีประสบการณ์ตรง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</si>
  <si>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 มีการรวบรวมความรู้ตามประเด็นความรู้ที่กำหนดในข้อ 1 ทั้งที่มีอยู่ในตัวบุคคลและแหล่งเรียนรู้อื่น 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</si>
  <si>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</si>
  <si>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ตัวบ่งชี้ที่ 7.3 ระบบสารสนเทศเพื่อการบริหารและการตัดสินใจ</t>
  </si>
  <si>
    <t>1. มีแผนระบบสารสนเทศ (Information System Plan)</t>
  </si>
  <si>
    <t>2. มีระบบสารสนเทศเพื่อการบริหารและการตัดสินใจตามพันธกิจของสถาบัน โดยอย่างน้อยต้องครอบคลุมการจัดการเรียนการสอน การวิจัย การบริหารจัดการ และการเงินและสามารถนำไปใช้ในการดำเนินงานประกันคุณภาพ</t>
  </si>
  <si>
    <t>3. มีการประเมินความพึงพอใจของผู้ใช้ระบบสารสนเทศ</t>
  </si>
  <si>
    <t>4. มีการนำผลการประเมินความพึงพอใจของผู้ใช้ระบบสารสนเทศมาปรับปรุงระบบสารสนเทศ</t>
  </si>
  <si>
    <t>5. มีการส่งข้อมูลผ่านระบบเครือข่ายของหน่วยงานภายนอกที่เกี่ยวข้องตามที่กำหนด</t>
  </si>
  <si>
    <t>ตัวบ่งชี้ที่ 7.4 ระบบบริหารความเสี่ยง</t>
  </si>
  <si>
    <t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โดยมีผู้บริหารระดับสูงและตัวแทนที่รับผิดชอบพันธกิจหลักของสถาบันร่วมเป็นคณะกรรมการหรือคณะทำงาน</t>
  </si>
  <si>
    <t>2. มีการวิเคราะห์และระบุความเสี่ยง และปัจจัยที่ก่อให้เกิดความเสี่ยงอย่างน้อย 3 ด้านตามบริบทของสถาบัน ตัวอย่างเช่น
o ความเสี่ยงด้านทรัพยากร (การเงิน งบประมาณ ระบบเทคโนโลยีสารสนเทศอาคารสถานที่)
o ความเสี่ยงด้านยุทธศาสตร์ หรือกลยุทธ์ของสถาบัน
o ความเสี่ยงด้านนโยบาย กฎหมาย ระเบียบ ข้อบังคับ
o ความเสี่ยงด้านการปฏิบัติงาน เช่น ความเสี่ยงของกระบวนการบริหารหลักสูตรการบริหารงานวิจัย ระบบงาน ระบบประกันคุณภาพ
o ความเสี่ยงด้านบุคลากรและความเสี่ยงด้านธรรมาภิบาล โดยเฉพาะจรรยาบรรณของอาจารย์และบุคลากร
o ความเสี่ยงจากเหตุการณ์ภายนอก
o อื่น ๆ ตามบริบทของสถาบัน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</si>
  <si>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</si>
  <si>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มีการจัดทำแผนบริหารความเสี่ยงที่มีระดับความเสี่ยงสูง และดำเนินการตามแผน</t>
  </si>
  <si>
    <t>5. มีการติดตาม และประเมินผลการดำเนินงานตามแผน และรายงานต่อสภาสถาบันเพื่อพิจารณาอย่างน้อยปีละ 1 ครั้ง</t>
  </si>
  <si>
    <t>6. มีการนำผลการประเมิน และข้อเสนอแนะจากสภาสถาบันไปใช้ในการปรับแผนหรือวิเคราะห์ความเสี่ยงในรอบปีถัดไป</t>
  </si>
  <si>
    <t>คะแนนประเมินผลการดำเนินงานของสภาสถาบัน</t>
  </si>
  <si>
    <t>ตัวบ่งชี้ที่ 7-12 การปฏิบัติตามบทบาทหน้าที่ของสภาสถาบัน(สมศ. 12)</t>
  </si>
  <si>
    <t>ผลการปฏิบัติตามบทบาทหน้าที่ของสภาสถาบัน</t>
  </si>
  <si>
    <t>ตัวบ่งชี้ที่ 7-13 การปฏิบัติตามบทบาทหน้าที่ของผู้บริหารสถาบัน (สมศ. 13)</t>
  </si>
  <si>
    <t>ผลการปฏิบัติตามบทบาทหน้าที่ของผู้บริหารสถาบัน</t>
  </si>
  <si>
    <t>ตัวบ่งชี้ที่ 8.1 ระบบและกลไกการเงินและงบประมาณ</t>
  </si>
  <si>
    <t>1. มีแผนกลยุทธ์ทางการเงินที่สอดคล้องกับแผนกลยุทธ์ของสถาบัน</t>
  </si>
  <si>
    <t>2. มีแนวทางจัดหาทรัพยากรทางด้านการเงิน หลักเกณฑ์การจัดสรร และการวางแผนการใช้เงินอย่างมีประสิทธิภาพ โปร่งใส ตรวจสอบได้</t>
  </si>
  <si>
    <t>3. มีงบประมาณประจำปีที่สอดคล้องกับแผนปฏิบัติการในแต่ละพันธกิจและการพัฒนาสถาบันและบุคลากร</t>
  </si>
  <si>
    <t>4. มีการจัดทำรายงานทางการเงินอย่างเป็นระบบ และรายงานต่อสภาสถาบันอย่างน้อยปีละ 2 ครั้ง</t>
  </si>
  <si>
    <t>5. มีการนำข้อมูลทางการเงินไปใช้ในการวิเคราะห์ค่าใช้จ่าย และวิเคราะห์สถานะทางการเงินและความมั่นคงของสถาบันอย่างต่อเนื่อง</t>
  </si>
  <si>
    <t>6.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</si>
  <si>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7. ผู้บริหารระดับสูงมีการติดตามผลการใช้เงินให้เป็นไปตามเป้าหมาย และนำข้อมูลจากรายงานทางการเงินไปใช้ในการวางแผนและการตัดสินใจ</t>
  </si>
  <si>
    <t xml:space="preserve">ตัวบ่งชี้ที่ 9.1 ระบและกลไกการประกันคุณภาพการศึกษาภายใน </t>
  </si>
  <si>
    <t>ข้อ9</t>
  </si>
  <si>
    <t>1. มีระบบและกลไกการประกันคุณภาพการศึกษาภายในที่เหมาะสมและสอดคล้องกับพันธกิจและพัฒนาการของสถาบัน ตั้งแต่ระดับภาควิชาหรือหน่วยงานเทียบเท่า และดำเนินการตามระบบที่กำหนด</t>
  </si>
  <si>
    <t>2.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สถาบัน</t>
  </si>
  <si>
    <t>3. มีการกำหนดตัวบ่งชี้เพิ่มเติมตามอัตลักษณ์ของสถาบัน</t>
  </si>
  <si>
    <t>4. มีการดำเนินงานด้านการประกันคุณภาพการศึกษาภายในที่ครบถ้วน ประกอบด้วย 
1) การควบคุม ติดตามการดำเนินงาน และประเมินคุณภาพ 
2) การจัดทำรายงานประจำปีที่เป็นรายงานประเมินคุณภาพเสนอต่อสภาสถาบันและสำนักงานคณะกรรมการการอุดมศึกษาตามกำหนดเวลา โดยเป็นรายงานที่มีข้อมูลครบถ้วนตามที่สำนักงานคณะกรรมการการอุดมศึกษากำหนดใน CHE QA Online และ
3) การนำผลการประเมินคุณภาพไปทำแผนการพัฒนาคุณภาพการศึกษาของสถาบัน</t>
  </si>
  <si>
    <t>5. มีการนำผลการประกันคุณภาพการศึกษาภายในมาปรับปรุงการทำงาน และส่งผลให้มีการพัฒนาผลการดำเนินงานตามตัวบ่งชี้ของแผนกลยุทธ์ทุกตัวบ่งชี้</t>
  </si>
  <si>
    <t>6. มีระบบสารสนเทศที่ให้ข้อมูลสนับสนุนการประกันคุณภาพการศึกษาภายในครบทั้ง 9 องค์ประกอบคุณภาพ</t>
  </si>
  <si>
    <t>7. มีส่วนร่วมของผู้มีส่วนได้ส่วนเสียในการประกันคุณภาพการศึกษา โดยเฉพาะนักศึกษาผู้ใช้บัณฑิต และผู้ใช้บริการตามพันธกิจของสถาบัน</t>
  </si>
  <si>
    <t>8. มีเครือข่ายการแลกเปลี่ยนเรียนรู้ด้านการประกันคุณภาพการศึกษาระหว่างสถาบันและมีกิจกรรมร่วมกัน</t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</si>
  <si>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</si>
  <si>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ตัวบ่งชี้ที่ 9-15 ผลประเมินการประกันคุณภาพภายในรับรองโดยต้นสังกัด (สมศ. 15)</t>
  </si>
  <si>
    <t>คะแนนประเมินคุณภาพภายใน</t>
  </si>
  <si>
    <t xml:space="preserve"> ผลประเมินการประกันคุณภาพภายในรับรองโดยต้นสังกัด </t>
  </si>
  <si>
    <t>ตัวบ่งชี้อัตลักษณ์ 10.1 บัณฑิตนักปฏิบัติ</t>
  </si>
  <si>
    <t>1. มีระบบและกลไกการดำเนินการบูรณาการการเรียนกับการทำงาน และมีการดำเนินงานตามระบบ</t>
  </si>
  <si>
    <t>2. มีกระบวนการจัดการเรียนการสอนโดยบูรณาการการเรียนกับการทำงาน</t>
  </si>
  <si>
    <t>3. กระบวนการเรียนการสอนมีการใช้ Technology Based และมีการฝึกทักษะวิชาชีพทุกหลักสูตร</t>
  </si>
  <si>
    <t>4. นักศึกษามีการใช้ Technology Based ในการศึกษาค้นคว้าในการทำโครงงาน กรณีศึกษาปัญหาพิเศษ ศิลปนิพนธ์ วิทยานิพนธ์ สารนิพนธ์ ทุกหลักสูตร</t>
  </si>
  <si>
    <t>5. นักศึกษาได้รับการยกย่อง ระดับชาติ หรือ นานาชาติ</t>
  </si>
  <si>
    <t>ตัวชี้วัด</t>
  </si>
  <si>
    <t>ระดับภาควิชา/สาขาวิชา</t>
  </si>
  <si>
    <t>ระดับคณะ/วิทยาลัย</t>
  </si>
  <si>
    <t>สวท.</t>
  </si>
  <si>
    <t>สวส.</t>
  </si>
  <si>
    <t>สวพ.</t>
  </si>
  <si>
    <t>สอ.</t>
  </si>
  <si>
    <t>ระดับมหาวิทยาลัย</t>
  </si>
  <si>
    <t>สกอ.1.1</t>
  </si>
  <si>
    <t>ü</t>
  </si>
  <si>
    <t>สมศ.16.1</t>
  </si>
  <si>
    <t>รอผล</t>
  </si>
  <si>
    <t>สมศ.16.2</t>
  </si>
  <si>
    <t>สมศ.17</t>
  </si>
  <si>
    <t>สกอ.2.1</t>
  </si>
  <si>
    <t>สกอ.2.2</t>
  </si>
  <si>
    <t>สกอ.2.3</t>
  </si>
  <si>
    <t>สกอ.2.4</t>
  </si>
  <si>
    <t>สกอ.2.5</t>
  </si>
  <si>
    <t>สกอ.2.6</t>
  </si>
  <si>
    <t>สกอ.2.7</t>
  </si>
  <si>
    <t>สกอ.2.8</t>
  </si>
  <si>
    <t>สมศ.1</t>
  </si>
  <si>
    <t>สมศ.2</t>
  </si>
  <si>
    <t>สมศ.3  (กรณีเปิดสอนปริญญาโท)</t>
  </si>
  <si>
    <t>สมศ.4  (กรณีเปิดสอนปริญญาเอก)</t>
  </si>
  <si>
    <t>สมศ.14</t>
  </si>
  <si>
    <t>สกอ.3.1</t>
  </si>
  <si>
    <t>สกอ.3.2</t>
  </si>
  <si>
    <t>สกอ.4.1</t>
  </si>
  <si>
    <t>สกอ.4.2</t>
  </si>
  <si>
    <t>สกอ.4.3</t>
  </si>
  <si>
    <t>สมศ.5</t>
  </si>
  <si>
    <t>สมศ.6</t>
  </si>
  <si>
    <t>สมศ.7</t>
  </si>
  <si>
    <t>สกอ.5.1</t>
  </si>
  <si>
    <t>สกอ.5.2</t>
  </si>
  <si>
    <t>สมศ.8</t>
  </si>
  <si>
    <t>สมศ.9</t>
  </si>
  <si>
    <t>สมศ.18.1</t>
  </si>
  <si>
    <t>สมศ.18.2</t>
  </si>
  <si>
    <t>สกอ.6.1</t>
  </si>
  <si>
    <t>สมศ.10</t>
  </si>
  <si>
    <t>สมศ.11</t>
  </si>
  <si>
    <t>สกอ.7.1</t>
  </si>
  <si>
    <t>สกอ.7.2</t>
  </si>
  <si>
    <t>สกอ.7.3</t>
  </si>
  <si>
    <t>สกอ.7.4</t>
  </si>
  <si>
    <t>สมศ.12</t>
  </si>
  <si>
    <t>เฉพาะมหาลัยฯ</t>
  </si>
  <si>
    <t>สมศ.13</t>
  </si>
  <si>
    <t>สกอ.8.1</t>
  </si>
  <si>
    <t>สกอ.9.1</t>
  </si>
  <si>
    <t>สมศ.15</t>
  </si>
  <si>
    <t>อัตลักษณ์ 10.1</t>
  </si>
  <si>
    <t>อัตลักษณ์ 10.2สนับสนุน</t>
  </si>
  <si>
    <t>ตัวบ่งชี้คุณภาพ</t>
  </si>
  <si>
    <t>เป้าหมาย</t>
  </si>
  <si>
    <t>จำนวนข้อ</t>
  </si>
  <si>
    <t>บรรลุเป้าหมาย</t>
  </si>
  <si>
    <t>ตัวตั้ง</t>
  </si>
  <si>
    <t>ตัวหาร</t>
  </si>
  <si>
    <t>ผลลัพธ์</t>
  </si>
  <si>
    <t>องค์ประกอบที่ 1 ปรัชญา  ปณิธาน  วัตถุประสงค์  และแผนการดำเนินการ</t>
  </si>
  <si>
    <t>ตัวบ่งชี้ที่ 1-16.2 ผลการพัฒนาบัณฑิตตามอัตลักษณ์(สมศ.16.2)</t>
  </si>
  <si>
    <t>องค์ประกอบที่ 2 การผลิตบัณฑิต</t>
  </si>
  <si>
    <t>ตัวบ่งชี้ที่ 2.1  ระบบและกลไกการพัฒนาและบริหารหลักสูตร</t>
  </si>
  <si>
    <t>ตัวบ่งชี้ที่ 2.2  อาจารย์ประจำที่มีคุณวุฒิปริญญาเอก</t>
  </si>
  <si>
    <t>เพิ่มขึ้น</t>
  </si>
  <si>
    <t>ตัวบ่งชี้ที่ 2.3  อาจารย์ประจำที่ดำรงตำแหน่งทางวิชาการ</t>
  </si>
  <si>
    <t>ตัวบ่งชี้ที่ 2.6  ระบบและกลไกการจัดการเรียนการสอน</t>
  </si>
  <si>
    <t>ตัวบ่งชี้ที่ 2.7  ระบบและกลไกการพัฒนาสัมฤทธิผลการเรียนตามคุณลักษณะของบัณฑิต</t>
  </si>
  <si>
    <t>ตัวบ่งชี้ที่ 2-2 คุณภาพของบัณฑิตปริญญาตรีโทและเอกตามกรอบมาตรฐานคุณวุฒิอุดมศึกษาแห่งชาติ (สมศ.2)</t>
  </si>
  <si>
    <t>ตัวบ่งชี้ที่ 2-4 ผลงานของผู้สำเร็จการศึกษาระดับปริญญาเอกที่ได้รับการตีพิมพ์หรือเผยแพร่ (สมศ.4)</t>
  </si>
  <si>
    <t>ตัวบ่งชี้ที่ 2-4</t>
  </si>
  <si>
    <t>ตัวบ่งชี้ที่  2-14 การพัฒนาคณาจารย์ (สมศ.14)</t>
  </si>
  <si>
    <t>ดัชนี</t>
  </si>
  <si>
    <t>องค์ประกอบที่ 4 การวิจัย</t>
  </si>
  <si>
    <t>ตัวบ่งชี้ที่ 4.3  เงินสนับสนุนงานวิจัยหรืองานสร้างสรรค์ต่อจำนวนอาจารย์ประจำและนักวิจัย</t>
  </si>
  <si>
    <t>ตัวบ่งชี้ที่ 4-5 งานวิจัยหรืองานสร้างสรรค์ที่ได้รับการตีพิมพ์หรือเผยแพร่ (สมศ. 5 )</t>
  </si>
  <si>
    <r>
      <t>ตัวบ่งชี้ที่ 4-6</t>
    </r>
    <r>
      <rPr>
        <b/>
        <sz val="14"/>
        <rFont val="Angsana New"/>
        <family val="1"/>
      </rPr>
      <t xml:space="preserve">  </t>
    </r>
    <r>
      <rPr>
        <sz val="14"/>
        <rFont val="Angsana New"/>
        <family val="1"/>
      </rPr>
      <t>งานวิจัยหรืองานสร้างสรรค์ที่นำไปใช้ประโยชน์ (สมศ.6)</t>
    </r>
  </si>
  <si>
    <t>ตัวบ่งชี้ที่ 4-7 ผลงานวิชาการที่ได้รับการรับรองคุณภาพ(สมศ.7)</t>
  </si>
  <si>
    <t>องค์ประกอบที่ 5 การบริการวิชาการแก่สังคม</t>
  </si>
  <si>
    <t>ตัวบ่งชี้ที่ 5-8 การนำความรู้และประสบการณ์จากการให้บริการวิชาการมาใช้ในการพัฒนาการเรียนการสอนหรือการวิจัย (สมศ.8)</t>
  </si>
  <si>
    <t>ตัวบ่งชี้ที่ 12 การปฏิบัติตามบทบาทหน้าที่ของสภาสถาบัน (สมศ.12)</t>
  </si>
  <si>
    <t>ตัวบ่งชี้ที่ 13 การปฏิบัติตามบทบาทหน้าที่ของผู้บริหารสถาบัน (สมศ. 13)</t>
  </si>
  <si>
    <t>องค์ประกอบที่ 9 ระบบและกลไกการประกันคุณภาพ</t>
  </si>
  <si>
    <t>ตัวบ่งชี้ที่ 9-15 ผลประเมินการประกันคุณภาพภายในรับรองโดยต้นสังกัด (สมศ.15)</t>
  </si>
  <si>
    <t>องค์ประกอบที่ 10 อัตลักษณ์ของมหาวิทยาลัย</t>
  </si>
  <si>
    <t xml:space="preserve">ตัวบ่งชี้ที่ 10.1 บัณฑิตนักปฏิบัติ </t>
  </si>
  <si>
    <t>ตัวบ่งชี้ที่11.4 จำนวนกระบวนการปฏิบัติงานที่ได้รับการพัฒนา/ปรับปรุงคุณภาพการให้บริการ(สำนัก)</t>
  </si>
  <si>
    <t>ตัวบ่งชี้ที่11.5  คุณภาพการให้บริการ(สำนัก)</t>
  </si>
  <si>
    <t>รวมคะแนนทุกองค์ประกอบ+อัตลักษณ์</t>
  </si>
  <si>
    <t>รวมคะแนนเฉพาะตัวบ่งชี้ สกอ.</t>
  </si>
  <si>
    <r>
      <t>*หมายเหตุ ::</t>
    </r>
    <r>
      <rPr>
        <b/>
        <sz val="14"/>
        <rFont val="Angsana New"/>
        <family val="1"/>
      </rPr>
      <t xml:space="preserve"> ตัวชี้วัดไหนที่ไม่ได้ทำให้ใส่ค่า " - " หรือ ค่า " ว่าง " ไว้ ในช่องคะแนน</t>
    </r>
  </si>
  <si>
    <t>รวมคะแนนเฉพาะตัวบ่งชี้ สมศ.</t>
  </si>
  <si>
    <t>1. มีการกำหนดพฤติกรรมด้านคุณธรรมจริยธรรมสำหรับนักศึกษาที่ต้องการส่งเสริมไว้เป็นลายลักษณ์อักษร</t>
  </si>
  <si>
    <t>ค่าน้ำหนัก</t>
  </si>
  <si>
    <t xml:space="preserve">บทความวิจัยที่ตีพิมพ์ในวารสารวิชาการระดับนานาชาติที่ปรากฏในฐานข้อมูลการจัดอันดับวารสาร SJR </t>
  </si>
  <si>
    <t>บทความวิจัยที่ตีพิมพ์ในวารสารวิชาการระดับนานาชาติที่ปรากฏในฐานข้อมูล ISI</t>
  </si>
  <si>
    <t>บทความวิจัยที่ตีพิมพ์ในวารสารวิชาการระดับนานาชาติที่ปรากฏในฐานข้อมูล Scopus</t>
  </si>
  <si>
    <t>ค่าดัชนี</t>
  </si>
  <si>
    <t>ค่าถ่วงน้ำหนัก</t>
  </si>
  <si>
    <t>บทความวิจัยที่ตีพิมพ์ในวารสารวิชาการระดับชาติที่ปรากฏในฐานข้อมูล TCI</t>
  </si>
  <si>
    <t xml:space="preserve">บทความวิจัยที่ตีพิมพ์ในฐานข้อมูลการจัดอันดับวารสาร SJR </t>
  </si>
  <si>
    <t xml:space="preserve">บทความวิจัยที่ตีพิมพ์ในวารสารวิชาการระดับนานาชาติที่ปรากฏในฐานข้อมูลสากล ISI </t>
  </si>
  <si>
    <t>บทความวิจัยที่ตีพิมพ์ในวารสารวิชาการระดับนานาชาติที่ปรากฏในฐานข้อมูลการจัดอันดับวารสาร SJR</t>
  </si>
  <si>
    <t>ค่าผลรวม</t>
  </si>
  <si>
    <t>คณะสถาปัตยกรรมศาสตร์และการออกแบบ</t>
  </si>
  <si>
    <t>วิทยาลัยนวัตกรรมการจัดการ</t>
  </si>
  <si>
    <t>รายการหลักฐาน</t>
  </si>
  <si>
    <t>เพื่อเตรียมความพร้อมรองรับการตรวจประเมินคุณภาพภายนอก รอบสาม</t>
  </si>
  <si>
    <t>ลำดับที่</t>
  </si>
  <si>
    <t>หน่วยงาน</t>
  </si>
  <si>
    <t>เวลา</t>
  </si>
  <si>
    <t>วัน/เดือน/ปี</t>
  </si>
  <si>
    <t>ครั้งที่ 1</t>
  </si>
  <si>
    <t>ครั้งที่ 2</t>
  </si>
  <si>
    <t>09.00-16.30 น.</t>
  </si>
  <si>
    <t>1 พ.ค. 56</t>
  </si>
  <si>
    <t xml:space="preserve"> 12 ก.พ. 56</t>
  </si>
  <si>
    <t xml:space="preserve"> 13 ก.พ. 56</t>
  </si>
  <si>
    <t xml:space="preserve"> 11 ก.พ. 56</t>
  </si>
  <si>
    <t xml:space="preserve"> 6 ก.พ. 56</t>
  </si>
  <si>
    <t xml:space="preserve"> 18 ก.พ. 56</t>
  </si>
  <si>
    <t xml:space="preserve"> 4 ก.พ. 56</t>
  </si>
  <si>
    <t xml:space="preserve"> 5 ก.พ. 56</t>
  </si>
  <si>
    <t xml:space="preserve"> 14 ก.พ. 56</t>
  </si>
  <si>
    <t xml:space="preserve"> 15 ก.พ. 56</t>
  </si>
  <si>
    <t>2 พ.ค. 56</t>
  </si>
  <si>
    <t>3 พ.ค. 56</t>
  </si>
  <si>
    <t>6 พ.ค. 56</t>
  </si>
  <si>
    <r>
      <t>หมายเหตุ</t>
    </r>
    <r>
      <rPr>
        <sz val="16"/>
        <rFont val="TH SarabunIT๙"/>
        <family val="2"/>
      </rPr>
      <t xml:space="preserve"> :: วันที่และเวลา อาจมีการเปลี่ยนแปลง</t>
    </r>
  </si>
  <si>
    <t>คิดจากผลรวมค่าตัวบ่งชี้ของ สกอ.</t>
  </si>
  <si>
    <r>
      <t xml:space="preserve">กำหนดการ Site Visits ประจำปีการศึกษา 2555 </t>
    </r>
    <r>
      <rPr>
        <b/>
        <sz val="18"/>
        <color rgb="FFFF0000"/>
        <rFont val="TH SarabunIT๙"/>
        <family val="2"/>
      </rPr>
      <t>(แก้ไขครั้งที่ 2)</t>
    </r>
  </si>
  <si>
    <t>รายงานผลการประเมินคุณภาพการศึกษาภายใน</t>
  </si>
  <si>
    <t>รายนามคณะกรรมการประเมินคุณภาพภายใน</t>
  </si>
  <si>
    <t>ลงชื่อ</t>
  </si>
  <si>
    <t>กรรมการฝึกปฏิบัติ</t>
  </si>
  <si>
    <t>.....................................................................................................</t>
  </si>
  <si>
    <t>การรับรองผลการตรวจประเมินคุณภาพภายใน</t>
  </si>
  <si>
    <t>..................................................................................</t>
  </si>
  <si>
    <t>ประวัติความเป็นมา(โดยสังเขป)</t>
  </si>
  <si>
    <t>ทีมงานผู้บริหาร</t>
  </si>
  <si>
    <t>หลักสูตรและสาขาวิชาที่เปิดทำการเรียนการสอน</t>
  </si>
  <si>
    <t>ข้อมูลบุคลากร</t>
  </si>
  <si>
    <t>จำนวนอาจารย์ประจำ</t>
  </si>
  <si>
    <t>ทั้งหมด</t>
  </si>
  <si>
    <t>ลาศึกษา</t>
  </si>
  <si>
    <t>ปฏิบัติงาน</t>
  </si>
  <si>
    <t>คุณวุฒิ</t>
  </si>
  <si>
    <t>ป.ตรี</t>
  </si>
  <si>
    <t>โท</t>
  </si>
  <si>
    <t>เอก</t>
  </si>
  <si>
    <t>ตำแหน่งทางวิชาการ</t>
  </si>
  <si>
    <t>ศ.</t>
  </si>
  <si>
    <t>ผศ.</t>
  </si>
  <si>
    <t>รศ.</t>
  </si>
  <si>
    <t>อาจารย์</t>
  </si>
  <si>
    <t>ภาควิชา/สาขา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</si>
  <si>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</si>
  <si>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ข้อมูลนักศึกษา</t>
  </si>
  <si>
    <t>ภาควิชาสาขา</t>
  </si>
  <si>
    <t>FTES</t>
  </si>
  <si>
    <t>จำนวนนักศึกษาแรกเข้า</t>
  </si>
  <si>
    <t>นักศึกษาทั้งหมด</t>
  </si>
  <si>
    <t>ปกติ</t>
  </si>
  <si>
    <t>สมทบ</t>
  </si>
  <si>
    <t>จำนวนผู้สำเร็จ</t>
  </si>
  <si>
    <t>จุดแข็ง/แนวทางเสริมจุดแข็ง</t>
  </si>
  <si>
    <t>จุดแข็ง</t>
  </si>
  <si>
    <t>แนวทางเสริมจุดแข็ง</t>
  </si>
  <si>
    <t>จุดที่ควรพัฒนา/ข้อเสนอแนะในการปรับปรุง</t>
  </si>
  <si>
    <t>ข้อเสนอแนะในการปรับปรุง</t>
  </si>
  <si>
    <t>วิธีปฏิบัติที่ดี/นวัตกรรม(ถ้ามี)</t>
  </si>
  <si>
    <t>นวัตกรรม(ถ้ามี)</t>
  </si>
  <si>
    <t>วิธีปฏิบัติที่ดี(ถ้ามี)</t>
  </si>
  <si>
    <t>ระดับคณะหรือหน่วยงานเทียบเท่า</t>
  </si>
  <si>
    <t>กรรมการนักศึกษา</t>
  </si>
  <si>
    <t>ตัวบ่งชี้ที่ 2-3 ผลงานของผู้สำเร็จการศึกษาระดับปริญญาโทที่ได้รับการตีพิมพ์หรือเผยแพร่</t>
  </si>
  <si>
    <t>จำนวนผู้สำเร็จการศึกษาระดับปริญญาโททั้งหมด</t>
  </si>
  <si>
    <t>จำนวนผลงานที่ตีพิมพ์เผยแพร่</t>
  </si>
  <si>
    <t>ชิ้น</t>
  </si>
  <si>
    <t>ผลรวมถ่วงน้ำหนักของผลงานที่ตีพิมพ์หรือเผยแพร่ของผู้สำเร็จการศึกษาระดับปริญญาโท</t>
  </si>
  <si>
    <t>ร้อยละของผลงานของผู้สำเร็จการศึกษาระดับปริญญาโทที่ได้รับการตีพิมพ์หรือเผยแพร่</t>
  </si>
  <si>
    <t xml:space="preserve">มีการตีพิมพ์เผยแพร่ในลักษณะใดลักษณะหนึ่ง </t>
  </si>
  <si>
    <t xml:space="preserve">มีการตีพิมพ์ในรายงานสืบเนื่องจากการประชุมวิชาการระดับชาติ (Proceeding) </t>
  </si>
  <si>
    <t>มีการตีพิมพ์ในรายงานสืบเนื่องจากการประชุมวิชาการระดับนานาชาติ (Proceeding)</t>
  </si>
  <si>
    <t>มีการตีพิมพ์ในวารสารวิชาการระดับชาติ</t>
  </si>
  <si>
    <t>มีการตีพิมพ์ในวารสารวิชาการระดับนานาชาติ</t>
  </si>
  <si>
    <t xml:space="preserve">ตัวบ่งชี้ที่ 1.1  กระบวนการพัฒนาแผน              </t>
  </si>
  <si>
    <t>องค์ประกอบที่ 3</t>
  </si>
  <si>
    <t>ตัวบ่งชี้ที่ 2.4  ระบบการพัฒนาคณาจารย์และบุคลากรสายสนับสนุน</t>
  </si>
  <si>
    <t>ตัวบ่งชี้ที่ 2.5  ห้องสมุด  อุปกรณ์การศึกษา  และสภาพแวดล้อมการเรียนรู้</t>
  </si>
  <si>
    <t>ตัวบ่งชี้ที่ 2-1 บัณฑิตปริญญาตรีที่ได้งานทำหรือประกอบอาชีพอิสระภายใน 1 ปี (สมศ.1)</t>
  </si>
  <si>
    <t>ตัวบ่งชี้ที่ 2-3 ผลงานของผู้สำเร็จการศึกษาระดับปริญญาโทที่ได้รับการตีพิมพ์หรือเผยแพร่ (สมศ.3)</t>
  </si>
  <si>
    <t>องค์ประกอบที่ 3 กิจกรรมการพัฒนานิสิตนักศึกษา</t>
  </si>
  <si>
    <t>ตัวบ่งชี้ที่ 3.1  ระบบและกลไกการให้คำปรึกษาและบริการด้านข้อมูลข่าวสาร</t>
  </si>
  <si>
    <t>ตัวบ่งชี้ที่ 3.2  ระบบและกลไกการส่งเสริมกิจกรรมนักศึกษา</t>
  </si>
  <si>
    <t>ตัวบ่งชี้ที่ 4.1  ระบบและกลไกการพัฒนางานวิจัยหรืองานสร้างสรรค์</t>
  </si>
  <si>
    <t>ตัวบ่งชี้ที่ 4.2  ระบบและกลไกการจัดการความรู้จากงานวิจัยหรืองานสร้างสรรค์</t>
  </si>
  <si>
    <t>ตัวบ่งชี้ที่ 5.1  ระบบและกลไกการบริการทางวิชาการแก่สังคม</t>
  </si>
  <si>
    <t>ตัวบ่งชี้ที่ 5.2  กระบวนการบริการทางวิชาการให้เกิดประโยชน์ต่อสังคม</t>
  </si>
  <si>
    <t>ตัวบ่งชี้ที่ 5-9 การเรียนรู้และเสริมสร้างความเข้มแข็งของชุมชนหรือองค์กรภายนอก (สมศ.9)</t>
  </si>
  <si>
    <t>ตัวบ่งชี้ที่ 5-18.1 ผลการชี้นำป้องกันหรือแก้ปัญหาในสังคมภายในสถาบัน(สมศ.18.1)</t>
  </si>
  <si>
    <t>ตัวบ่งชี้ที่ 5-18.2 ผลการชี้นำป้องกันหรือแก้ปัญหาในสังคมภายนอกสถาบัน(สมศ.18.2)</t>
  </si>
  <si>
    <t>องค์ประกอบที่ 6 การทำนุบำรุงศิลปะและวัฒนธรรม</t>
  </si>
  <si>
    <t>ตัวบ่งชี้ที่ 6.1  ระบบและกลไกการทำนุบำรุงศิลปะและวัฒนธรรม</t>
  </si>
  <si>
    <t>ตัวบ่งชี้ที่ 6-10 การส่งเสริมและสนับสนุนด้านศิลปะและวัฒนธรรม (สมศ.10)</t>
  </si>
  <si>
    <t>ตัวบ่งชี้ที่ 6-11 การพัฒนาสุนทรียภาพในมิติทางศิลปะและวัฒนธรรม (สมศ.11)</t>
  </si>
  <si>
    <t>องค์ประกอบที่ 7 การบริหารและการจัดการ</t>
  </si>
  <si>
    <t>ตัวบ่งชี้ที่ 7.1  ภาวะผู้นำของสภาสถาบันและผู้บริหารทุกระดับของสถาบัน</t>
  </si>
  <si>
    <t>ตัวบ่งชี้ที่ 7.2  การพัฒนาสถาบันสู่สถาบันเรียนรู้</t>
  </si>
  <si>
    <t>ตัวบ่งชี้ที่ 7.3  ระบบสารสนเทศเพื่อการบริหารและการตัดสินใจ</t>
  </si>
  <si>
    <t>ตัวบ่งชี้ที่ 7.4  ระบบบริหารความเสี่ยง</t>
  </si>
  <si>
    <t>ตัวบ่งชี้ที่ 7-12 การปฏิบัติตามบทบาทหน้าที่ของสภาสถาบัน(สมศ.12)</t>
  </si>
  <si>
    <t>ตัวบ่งชี้ที่ 7-13 การปฏิบัติตามบทบาทหน้าที่ของผู้บริหารสถาบัน(สมศ.13)</t>
  </si>
  <si>
    <t>องค์ประกอบที่ 8 การเงินและงบประมาณ</t>
  </si>
  <si>
    <t>ตัวบ่งชี้ที่ 8.1  ระบบและกลไกการเงินและงบประมาณ</t>
  </si>
  <si>
    <t>ตัวบ่งชี้ที่ 9.1  ระบบและกลไกการประกันคุณภาพการศึกษาภายใน</t>
  </si>
  <si>
    <t>ผลการดำเนินงาน 3 ปี(สมศ.รอบสาม)</t>
  </si>
  <si>
    <t>ป.1 ผลการประเมินรายตัวบ่งชี้ของสมศ. รอบ 3 รวมสามปี(53,54,55)</t>
  </si>
  <si>
    <t>คิดจากผลรวมค่าตัวบ่งชี้ของ สกอ.3 ปีย้อนหลัง</t>
  </si>
  <si>
    <t xml:space="preserve">Common Data Set </t>
  </si>
  <si>
    <t>Created On - 27 เม.ย. 2556</t>
  </si>
  <si>
    <t>-เฉพาะที่บันทึกภาพรวมสถาบัน-</t>
  </si>
  <si>
    <t>OrgID</t>
  </si>
  <si>
    <t>EduYear</t>
  </si>
  <si>
    <t>UnivID</t>
  </si>
  <si>
    <t>FacID</t>
  </si>
  <si>
    <t>CdsID</t>
  </si>
  <si>
    <t>CdsName</t>
  </si>
  <si>
    <t>CdsValues</t>
  </si>
  <si>
    <t>19500</t>
  </si>
  <si>
    <t>0</t>
  </si>
  <si>
    <t>(สกอ.) จำนวนแผนปฏิบัติการประจำปี</t>
  </si>
  <si>
    <t>(สกอ.) จำนวนหลักสูตรที่เปิดสอนทั้งหมด</t>
  </si>
  <si>
    <t>-</t>
  </si>
  <si>
    <t>- -(สกอ.) ระดับอนุปริญญา</t>
  </si>
  <si>
    <t>- -(สกอ.) ระดับปริญญาตรี</t>
  </si>
  <si>
    <t>- -(สกอ.) ระดับ ป.บัณฑิต</t>
  </si>
  <si>
    <t>- -(สกอ.) ระดับปริญญาโทที่มีเฉพาะแผน ก</t>
  </si>
  <si>
    <t>- -(สกอ.) ระดับปริญญาโทที่มีเฉพาะแผน ข</t>
  </si>
  <si>
    <t>- -(สกอ.) ระดับปริญญาโท ที่มีทั้งแผน ก และ แผน ข อยู่ในเอกสารหลักสูตรฉบับเดียวกัน</t>
  </si>
  <si>
    <t>(สกอ.) จำนวนหลักสูตรระดับปริญญาโท แผน ก ที่มีนักศึกษาลงทะเบียนเรียนในแผน ก</t>
  </si>
  <si>
    <t>- -(สกอ.) ระดับ ป.บัณฑิตขั้นสูง</t>
  </si>
  <si>
    <t>- -(สกอ.) ระดับปริญญาเอก</t>
  </si>
  <si>
    <t>(สกอ.) จำนวนหลักสูตรระดับปริญญาเอก ที่มีนักศึกษาลงทะเบียนเรียน</t>
  </si>
  <si>
    <t>(สกอ.) จำนวนศูนย์จัดการศึกษานอกสถานที่ตั้งทั้งหมด</t>
  </si>
  <si>
    <t>(สกอ.) จำนวนหลักสูตรที่จัดการเรียนการสอนนอกสถานที่ตั้ง</t>
  </si>
  <si>
    <t>- -(สกอ.) ระดับปริญญาโท</t>
  </si>
  <si>
    <t>(สกอ.) จำนวนหลักสูตรที่จัดการเรียนการสอนนอกสถานที่ตั้ง  และแจ้งให้คณะกรรมการการอุดมศึกษาทราบ</t>
  </si>
  <si>
    <t>(สกอ.) จำนวนหลักสูตรทั้งหมดที่ได้รับอนุมัติตามกรอบ TQF</t>
  </si>
  <si>
    <t>(สกอ.) จำนวนหลักสูตรทั้งหมดที่ได้รับอนุมัติตามกรอบ TQF และมีการประเมินผลตามตัวบ่งชี้ผลการดำเนินงานฯ ครบถ้วน</t>
  </si>
  <si>
    <t>(สกอ.) จำนวนหลักสูตรวิชาชีพที่เปิดสอนทั้งหมด</t>
  </si>
  <si>
    <t>(สกอ.) จำนวนหลักสูตรวิชาชีพที่เปิดสอนและได้รับการรับรองหลักสูตรจากองค์กรวิชาชีพทั้งหมด</t>
  </si>
  <si>
    <t>(สกอ.) จำนวนหลักสูตรทั้งหมดที่ยังไม่ได้รับอนุมัติตามกรอบ TQF แต่เป็นไปตามเกณฑ์มาตรฐานหลักสูตรระดับอุดมศึกษา พ.ศ.2548 ครบถ้วน</t>
  </si>
  <si>
    <t>(สกอ.) จำนวนหลักสูตรทั้งหมดที่ได้รับอนุมัติตามกรอบ TQF ที่มีผลการประเมินตามตัวบ่งชี้ผลการดำเนินงานฯ ผ่านเกณฑ์การประเมิน 5 ข้อแรก และอย่างน้อยร้อยละ 80 ของตัวบ่งชี้ที่กำหนดในแต่ละปี)</t>
  </si>
  <si>
    <t>- -(สกอ.) จำนวนหลักสูตรทั้งหมดที่ได้รับอนุมัติตามกรอบ TQF ที่มีผลการประเมินตามตัวบ่งชี้ผลการดำเนินงานฯ ผ่านเกณฑ์การประเมินครบทุกตัวบ่งชี้</t>
  </si>
  <si>
    <t>(สกอ.) จำนวนหลักสูตรสาขาวิชาชีพที่มีความร่วมมือในการพัฒนาและบริหารหลักสูตรกับภาครัฐหรือภาคเอกชนที่เกี่ยวข้องกับวิชาชีพของหลักสูตร</t>
  </si>
  <si>
    <t>- -(สกอ.) ระดับปริญญาเอก </t>
  </si>
  <si>
    <t>(สกอ.) จำนวนนักศึกษาปัจจุบันทั้งหมดทุกระดับการศึกษา</t>
  </si>
  <si>
    <t>- -(สกอ.) จำนวนนักศึกษาปัจจุบันทั้งหมด - ระดับอนุปริญญา</t>
  </si>
  <si>
    <t>- -(สกอ.) จำนวนนักศึกษาปัจจุบันทั้งหมด - ระดับปริญญาตรี</t>
  </si>
  <si>
    <t>- -(สกอ.) จำนวนนักศึกษาปัจจุบันทั้งหมด - ระดับ ป.บัณฑิต</t>
  </si>
  <si>
    <t>- -(สกอ.) จำนวนนักศึกษาปัจจุบันทั้งหมด - ระดับปริญญาโท</t>
  </si>
  <si>
    <t>- -(สกอ.) จำนวนนักศึกษาปัจจุบันทั้งหมด - ระดับปริญญาโท  (แผน ก)</t>
  </si>
  <si>
    <t>- -(สกอ.) จำนวนนักศึกษาปัจจุบันทั้งหมด - ระดับปริญญาโท(แผน ข)</t>
  </si>
  <si>
    <t>- -(สกอ.) จำนวนนักศึกษาปัจจุบันทั้งหมด - ระดับ ป.บัณฑิตขั้นสูง</t>
  </si>
  <si>
    <t>- -(สกอ.) จำนวนนักศึกษาปัจจุบันทั้งหมด - ระดับปริญญาเอก </t>
  </si>
  <si>
    <t>(REPORT) จำนวนอาจารย์ประจำทั้งหมด รวมทั้งที่ปฏิบัติงานจริงและลาศึกษาต่อ</t>
  </si>
  <si>
    <t>- -(REPORT) จำนวนอาจารย์ประจำที่ปฏิบัติงานจริง</t>
  </si>
  <si>
    <t>- -(REPORT) จำนวนอาจารย์ประจำที่ลาศึกษาต่อ </t>
  </si>
  <si>
    <t>(REPORT) จำนวนอาจารย์ประจำทั้งหมดที่ปฏิบัติงานจริงและลาศึกษาต่อ แยกตามวุฒิปริญญาหรือเทียบเท่า </t>
  </si>
  <si>
    <t>- -(REPORT) จำนวนอาจารย์ประจำทั้งหมดที่ปฏิบัติงานจริงและลาศึกษาต่อ วุฒิปริญญาตรีหรือเทียบเท่า </t>
  </si>
  <si>
    <t>- -(REPORT) จำนวนอาจารย์ประจำทั้งหมดที่ปฏิบัติงานจริงและลาศึกษาต่อ วุฒิปริญญาโทหรือเทียบเท่า</t>
  </si>
  <si>
    <t>- -(REPORT) จำนวนอาจารย์ประจำทั้งหมดที่ปฏิบัติงานจริงและลาศึกษาต่อ วุฒิปริญญาเอกหรือเทียบเท่า </t>
  </si>
  <si>
    <t>(สกอ.) ร้อยละของอาจารย์ประจำที่มีคุณวุฒิปริญญาเอกปีการศึกษาที่ผ่านมา (กรณีที่เลือกใช้เกณฑ์ประเมินเป็นค่าการเพิ่มขึ้นของร้อยละฯ) </t>
  </si>
  <si>
    <t>(สกอ.) จำนวนอาจารย์ประจำทั้งหมดที่ดำรงตำแหน่งอาจารย์</t>
  </si>
  <si>
    <t>- -(สกอ.) จำนวนอาจารย์ประจำ (ที่ไม่มีตำแหน่งทางวิชาการ) ที่มีวุฒิปริญญาตรี หรือเทียบเท่า</t>
  </si>
  <si>
    <t>- -(สกอ.) จำนวนอาจารย์ประจำ (ที่ไม่มีตำแหน่งทางวิชาการ) ที่มีวุฒิปริญญาโท หรือเทียบเท่า</t>
  </si>
  <si>
    <t>- -(สกอ.) จำนวนอาจารย์ประจำ (ที่ไม่มีตำแหน่งทางวิชาการ) ที่มีวุฒิปริญญาเอก หรือเทียบเท่า</t>
  </si>
  <si>
    <t>(สกอ.) จำนวนอาจารย์ประจำทั้งหมดที่ดำรงตำแหน่งผู้ช่วยศาสตราจารย์ </t>
  </si>
  <si>
    <t>- -(สกอ.) จำนวนอาจารย์ประจำตำแหน่งผู้ช่วยศาสตราจารย์ ที่มีวุฒิปริญญาตรี หรือเทียบเท่า</t>
  </si>
  <si>
    <t>- -(สกอ.) จำนวนอาจารย์ประจำตำแหน่งผู้ช่วยศาสตราจารย์ ที่มีวุฒิปริญญาโท หรือเทียบเท่า</t>
  </si>
  <si>
    <t>- -(สกอ.) จำนวนอาจารย์ประจำตำแหน่งผู้ช่วยศาสตราจารย์ ที่มีวุฒิปริญญาเอก หรือเทียบเท่า</t>
  </si>
  <si>
    <t>(สกอ.) จำนวนอาจารย์ประจำทั้งหมดที่ดำรงตำแหน่งรองศาสตราจารย์</t>
  </si>
  <si>
    <t>- -(สกอ.) จำนวนอาจารย์ประจำตำแหน่งรองศาสตราจารย์ ที่มีวุฒิปริญญาตรี หรือเทียบเท่า</t>
  </si>
  <si>
    <t>- -(สกอ.) จำนวนอาจารย์ประจำตำแหน่งรองศาสตราจารย์ ที่มีวุฒิปริญญาโท หรือเทียบเท่า</t>
  </si>
  <si>
    <t>- -(สกอ.) จำนวนอาจารย์ประจำตำแหน่งรองศาสตราจารย์ ที่มีวุฒิปริญญาเอก หรือเทียบเท่า</t>
  </si>
  <si>
    <t>(สกอ.) จำนวนอาจารย์ประจำทั้งหมดที่ดำรงตำแหน่งศาสตราจารย์</t>
  </si>
  <si>
    <t>- -(สกอ.) จำนวนอาจารย์ประจำตำแหน่งศาสตราจารย์ ที่มีวุฒิปริญญาตรี หรือเทียบเท่า</t>
  </si>
  <si>
    <t>- -(สกอ.) จำนวนอาจารย์ประจำตำแหน่งศาสตราจารย์ ที่มีวุฒิปริญญาโท หรือเทียบเท่า</t>
  </si>
  <si>
    <t>- -(สกอ.) จำนวนอาจารย์ประจำตำแหน่งศาสตราจารย์ ที่มีวุฒิปริญญาเอก หรือเทียบเท่า</t>
  </si>
  <si>
    <t>(สกอ.) ร้อยละของอาจารย์ประจำที่ดำรงตำแหน่งทางวิชาการของปีที่ผ่านมา</t>
  </si>
  <si>
    <t>(สกอ.) จำนวนนักศึกษาเต็มเวลาเทียบเท่า (FTES) รวมทุกหลักสูตร</t>
  </si>
  <si>
    <t>(สกอ.) จำนวนเครื่องคอมพิวเตอร์ที่จัดบริการให้นักศึกษา</t>
  </si>
  <si>
    <t>(สกอ.) จำนวน Notebook และ Mobile Device ต่างๆ ของนักศึกษาที่มีการลงทะเบียนการใช้ Wi-Fi กับสถาบัน</t>
  </si>
  <si>
    <t>(สกอ.) ผลการประเมินคุณภาพการให้บริการห้องสมุดและแหล่งเรียนรู้อื่นๆ ผ่านระบบเครือข่ายคอมพิวเตอร์ และมีการฝึกอบรมการใช้งานแก่นักศึกษา (จากคะแนนเต็ม 5)</t>
  </si>
  <si>
    <t>(สกอ.) ผลการประเมินคุณภาพการให้บริการด้านกายภาพที่เหมาะสมต่อการจัดการเรียนการสอนและการพัฒนานักศึกษา อาทิ ห้องเรียน ห้องปฏิบัติการ อุปกรณ์การศึกษา และจุดเชื่อมต่ออินเตอร์เน็ตในระบบไร้สาย (จากคะแนนเต็ม 5)</t>
  </si>
  <si>
    <t>(สกอ.) ผลการประเมินคุณภาพในการให้บริการสิ่งอำนวยความสะดวกที่จำเป็นอื่นๆ อาทิ งานทะเบียนนักศึกษาผ่านระบบเครือข่ายคอมพิวเตอร์ การบริการอนามัยและการรักษาพยาบาล การจัดการหรือจัดบริการด้านอาหารและสนามกีฬา (จากคะแนนเต็ม 5)</t>
  </si>
  <si>
    <t>(สกอ.) ผลการประเมินคุณภาพในการให้บริการสาธารณูปโภคและรักษาความปลอดภัยของอาคารตลอดจนบริเวณโดยรอบ อาทิ ประปา ไฟฟ้า ระบบกำจัดของเสีย การจัดการขยะ รวมทั้งมีระบบและอุปกรณ์ป้องกันอัคคีภัยในบริเวณอาคารต่างๆ โดยเป็นไปตามกฎหมายที่เกี่ยวข้อง (จากคะแนนเต็ม 5)</t>
  </si>
  <si>
    <t>(สกอ.) ผลการประเมินความพึงพอใจของผู้เรียนที่มีต่อคุณภาพการจัดการเรียนการสอนและสิ่งสนับสนุนการเรียนรู้ (เทียบจากคะแนนเต็ม 5) เฉลี่ยทุกหลักสูตร</t>
  </si>
  <si>
    <t>(สมศ.) จำนวนบัณฑิตระดับปริญญาตรีทั้งหมด (ที่จัดเก็บข้อมูล สำหรับ สมศ1)</t>
  </si>
  <si>
    <t>(สมศ.) จำนวนบัณฑิตระดับปริญญาตรีที่ตอบแบบสำรวจเรื่องการมีงานทำ </t>
  </si>
  <si>
    <t>(สมศ.) จำนวนบัณฑิตระดับปริญญาตรีที่ได้งานทำหลังสำเร็จการศึกษา (ไม่นับรวมผู้ที่ประกอบอาชีพอิสระ)</t>
  </si>
  <si>
    <t>(สมศ.) จำนวนบัณฑิตระดับปริญญาตรีที่ประกอบอาชีพอิสระ</t>
  </si>
  <si>
    <t>(สมศ.) จำนวนผู้สำเร็จการศึกษาระดับปริญญาตรีที่มีงานทำก่อนเข้าศึกษา</t>
  </si>
  <si>
    <t>(สมศ.) จำนวนบัณฑิตระดับปริญญาตรีที่มีกิจการของตนเองที่มีรายได้ประจำอยู่แล้ว</t>
  </si>
  <si>
    <t>(สมศ.) จำนวนบัณฑิตระดับปริญญาตรีที่ศึกษาต่อระดับบัณฑิตศึกษา</t>
  </si>
  <si>
    <t>(สมศ.) จำนวนบัณฑิตระดับปริญญาตรีที่อุปสมบท</t>
  </si>
  <si>
    <t>(สมศ.) จำนวนบัณฑิตระดับปริญญาตรีที่เกณฑ์ทหาร</t>
  </si>
  <si>
    <t>(สมศ.) เงินเดือนหรือรายได้ต่อเดือน ของผู้สำเร็จการศึกษาระดับปริญญาตรีที่ได้งานทำหรือประกอบอาชีพอิสระ (ค่าเฉลี่ย)</t>
  </si>
  <si>
    <t>(สมศ.) จำนวนบัณฑิตระดับปริญญาตรีทั้งหมด (ที่จัดเก็บข้อมูล สำหรับ สมศ2 16.2)</t>
  </si>
  <si>
    <t>(สมศ.) จำนวนบัณฑิตระดับปริญญาโททั้งหมด (ที่จัดเก็บข้อมูล สำหรับ สมศ2 16.2)</t>
  </si>
  <si>
    <t>(สมศ.) จำนวนบัณฑิตระดับปริญญาเอกทั้งหมด (ที่จัดเก็บข้อมูล สำหรับ สมศ2 16.2)</t>
  </si>
  <si>
    <t>(สมศ.) จำนวนบัณฑิตระดับปริญญาตรีที่ได้รับการประเมินคุณภาพตามกรอบมาตรฐานคุณวุฒิระดับอุดมศึกษาแห่งชาติ</t>
  </si>
  <si>
    <t>(สมศ.) ผลการประเมินโดย Exit Exam ในกลุ่มสาขาวิชาที่จบการศึกษาระดับปริญญาตรีตามกรอบ TQF เฉลี่ย (คะแนนเต็ม ๕)</t>
  </si>
  <si>
    <t>(สมศ.) ผลการประเมินจากความพึงพอใจของนายจ้างที่มีต่อผู้สำเร็จการศึกษาระดับปริญญาตรีตามกรอบ TQF เฉลี่ย (คะแนนเต็ม ๕)</t>
  </si>
  <si>
    <t>(สมศ.) จำนวนบัณฑิตระดับปริญญาโทที่ได้รับการประเมินคุณภาพตามกรอบมาตรฐานคุณวุฒิระดับอุดมศึกษาแห่งชาติ</t>
  </si>
  <si>
    <t>(สมศ.) ผลการประเมินโดย Exit Exam ในกลุ่มสาขาวิชาที่จบการศึกษาระดับปริญญาโทตามกรอบ TQF เฉลี่ย (คะแนนเต็ม ๕)</t>
  </si>
  <si>
    <t>(สมศ.) ผลการประเมินจากความพึงพอใจของนายจ้างที่มีต่อผู้สำเร็จการศึกษาระดับปริญญาโทตามกรอบ TQF เฉลี่ย (คะแนนเต็ม ๕)</t>
  </si>
  <si>
    <t>(สมศ.) จำนวนบัณฑิตระดับปริญญาเอกที่ได้รับการประเมินคุณภาพตามกรอบมาตรฐานคุณวุฒิระดับอุดมศึกษาแห่งชาติ</t>
  </si>
  <si>
    <t>(สมศ.) ผลการประเมินโดย Exit Exam ในกลุ่มสาขาวิชาที่จบการศึกษาระดับปริญญาเอกตามกรอบ TQF เฉลี่ย (คะแนนเต็ม ๕)</t>
  </si>
  <si>
    <t>(สมศ.) ผลการประเมินจากความพึงพอใจของนายจ้างที่มีต่อผู้สำเร็จการศึกษาระดับปริญญาเอกตามกรอบ TQF เฉลี่ย (คะแนนเต็ม ๕)</t>
  </si>
  <si>
    <t>(REPORT) ผลรวมของค่าคะแนนที่ได้จากการประเมินบัณฑิต ตามกรอบ TQF</t>
  </si>
  <si>
    <t>(REPORT) จำนวนบัณฑิตที่ได้รับการประเมิน ตามกรอบ TQF ทั้งหมด</t>
  </si>
  <si>
    <t>(สมศ.) ผลการประเมินจากความพึงพอใจของนายจ้างที่มีต่อบัณฑิตระดับปริญญาตรี โท เอก ตามกรอบ TQF เฉลี่ย (คะแนนเต็ม ๕)</t>
  </si>
  <si>
    <t>(สมศ.) จำนวนรวมของบทความวิจัยที่เป็นผลจากวิทยานิพนธ์ หรือบทความจากสารนิพนธ์ หรือบทความจากศิลปนิพนธ์ [ผลงานของผู้สำเร็จการศึกษาระดับปริญญาโท ที่ผ่านการกลั่นกรอง (peer review) โดยมีบุคคลภายนอกสถาบันร่วมเป็นกรรมการพิจารณาด้วย]</t>
  </si>
  <si>
    <t>- -(สมศ.) จำนวนบทความวิจัยฯ ที่มีการตีพิมพ์เผยแพร่สู่สาธารณะในลักษณะใดลักษณะหนึ่ง </t>
  </si>
  <si>
    <t>- -(สมศ.) จำนวนบทความวิจัยฯ ที่ตีพิมพ์ในรายงานสืบเนื่องจากการประชุมวิชาการระดับชาติ (proceedings)</t>
  </si>
  <si>
    <t>- -(สมศ.) จำนวนบทความวิจัยฯ ที่ตีพิมพ์ในรายงานสืบเนื่องจากการประชุมวิชาการระดับนานาชาติ (proceedings) หรือมีการตีพิมพ์ในวารสารวิชาการระดับชาติ</t>
  </si>
  <si>
    <t>- -(สมศ.) จำนวนบทความวิจัยฯ ที่ตีพิมพ์ในวารสารวิชาการระดับนานาชาติ</t>
  </si>
  <si>
    <t>(สมศ.) จำนวนรวมของผลงานสร้างสรรค์จากศิลปนิพนธ์ที่เผยแพร่ (ผลงานของผู้สำเร็จการศึกษาระดับปริญญาโท)</t>
  </si>
  <si>
    <t>- -(สมศ.) จำนวนผลงานสร้างสรรค์จากศิลปนิพนธ์ที่ได้รับการเผยแพร่ระดับสถาบันหรือจังหวัด</t>
  </si>
  <si>
    <t>- -(สมศ.) จำนวนผลงานสร้างสรรค์จากศิลปนิพนธ์ที่ได้รับการเผยแพร่ในระดับชาติ</t>
  </si>
  <si>
    <t>- -(สมศ.) จำนวนผลงานสร้างสรรค์จากศิลปนิพนธ์ที่ได้รับการเผยแพร่ในระดับความร่วมมือระหว่างประเทศ</t>
  </si>
  <si>
    <t>- -(สมศ.) จำนวนผลงานสร้างสรรค์จากศิลปนิพนธ์ที่ได้รับการเผยแพร่ในระดับภูมิภาคอาเซียน</t>
  </si>
  <si>
    <t>- -(สมศ.) จำนวนผลงานสร้างสรรค์จากศิลปนิพนธ์ที่ได้รับการเผยแพร่ในระดับนานาชาติ </t>
  </si>
  <si>
    <t>(สมศ.) จำนวนผู้สำเร็จการศึกษาระดับปริญญาโททั้งหมด (ปีการศึกษาที่เป็นวงรอบประเมิน)</t>
  </si>
  <si>
    <t>(สมศ.) จำนวนรวมของบทความวิจัยจากวิทยานิพนธ์ ที่ตีพิมพ์เผยแพร่ (ผลงานของผู้สำเร็จการศึกษาระดับปริญญาเอก)</t>
  </si>
  <si>
    <t>- -(สมศ.) จำนวนบทความวิจัยฯ ที่ตีพิมพ์ในรายงานสืบเนื่องจากการประชุมวิชาการระดับชาติ/ระดับนานาชาติ หรือตีพิมพ์ในวารสารวิชาการที่ปรากฎในฐานข้อมูล TCI (จำนวนบทความที่นับในค่าน้ำหนักนี้ จะต้องไม่นับซ้ำกับค่านำหนักอื่นๆ)</t>
  </si>
  <si>
    <t>- -(สมศ.) จำนวนบทความวิจัยฯ ที่ตีพิมพ์ในวารสารวิชาการระดับชาติที่มีชื่อปรากฎในประกาศของ สมศ. (จำนวนบทความที่นับในค่าน้ำหนักนี้ จะต้องไม่ซ้ำกับที่นับในค่าน้ำหนักอื่นๆ)</t>
  </si>
  <si>
    <t>- -(สมศ.) จำนวนบทความวิจัยฯ ที่ตีพิมพ์ในวารสารวิชาการระดับนานาชาติที่มีชื่อปรากฎอยู่ในประกาศของ สมศ. (จำนวนบทความที่นับในค่าน้ำหนักนี้ จะต้องไม่ซ้ำกับที่นับในค่าน้ำหนักอื่นๆ)</t>
  </si>
  <si>
    <t>- -(สมศ.) 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หรือ ISI หรือ Scopus (จำนวนบทความที่นับในค่าน้ำหนักนี้ จะต้องไม่ซ้ำกับที่นับในค่าน้ำหนักอื่นๆ)</t>
  </si>
  <si>
    <t>(สมศ.) จำนวนรวมของผลงานสร้างสรรค์ที่เผยแพร่ (ผลงานของผู้สำเร็จการศึกษาระดับปริญญาเอก)</t>
  </si>
  <si>
    <t>- -(สมศ.) จำนวนผลงานสร้างสรรค์ที่ได้รับการเผยแพร่ในระดับนานาชาติ</t>
  </si>
  <si>
    <t>(สมศ.) จำนวนผู้สำเร็จการศึกษาระดับปริญญาเอกทั้งหมด (ปีการศึกษาที่เป็นวงรอบประเมิน)</t>
  </si>
  <si>
    <t>(สกอ.) ผลการประเมินคุณภาพของการให้บริการให้คำปรึกษาทางวิชาการและแนะแนวการใช้ชีวิตแก่นักศึกษา (จากคะแนนเต็ม 5)</t>
  </si>
  <si>
    <t>(สกอ.) ผลการประเมินคุณภาพของการให้บริการข้อมูลข่าวสารที่เป็นประโยชน์ต่อนักศึกษา (จากคะแนนเต็ม 5)</t>
  </si>
  <si>
    <t>(สกอ.) ผลการประเมินคุณภาพของการจัดกิจกรรมเพื่อพัฒนาประสบการณ์ทางวิชาการและวิชาชีพแก่นักศึกษา (จากคะแนนเต็ม 5)</t>
  </si>
  <si>
    <t>(สกอ.) จำนวนอาจารย์ประจำและนักวิจัยประจำที่ได้รับการพัฒนาศักยภาพด้านงานวิจัยหรืองานสร้างสรรค์</t>
  </si>
  <si>
    <t>(สกอ.) จำนวนอาจารย์ประจำและนักวิจัยประจำที่ได้รับความรู้ด้านจรรยาบรรณการวิจัย</t>
  </si>
  <si>
    <t>(สกอ.) จำนวนผลงานวิจัยหรืองานสร้างสรรค์ที่มีการยื่นการจดทะเบียนสิทธิบัตรหรืออนุสิทธิบัตร</t>
  </si>
  <si>
    <t>(สกอ.) จำนวนเงินสนับสนุนงานวิจัยหรืองานสร้างสรรค์จากภายในสถาบัน</t>
  </si>
  <si>
    <t>- -(สกอ.) กลุ่มสาขาวิชาวิทยาศาสตร์และเทคโนโลยี</t>
  </si>
  <si>
    <t>- -(สกอ.) กลุ่มสาขาวิชาวิทยาศาสตร์สุขภาพ</t>
  </si>
  <si>
    <t>- -(สกอ.) กลุ่มสาขาวิชามนุษยศาสตร์และสังคมศาสตร์</t>
  </si>
  <si>
    <t>(สกอ.) จำนวนเงินสนับสนุนงานวิจัยหรืองานสร้างสรรค์จากภายนอกสถาบัน</t>
  </si>
  <si>
    <t>(สกอ.) จำนวนอาจารย์ประจำที่ปฏิบัติงานจริง (ไม่นับรวมผู้ลาศึกษาต่อ)</t>
  </si>
  <si>
    <t>(สกอ.) จำนวนนักวิจัยประจำที่ปฏิบัติงานจริง (ไม่นับรวมผู้ลาศึกษาต่อ)</t>
  </si>
  <si>
    <t>(สกอ.) จำนวนอาจารย์ประจำที่ลาศึกษาต่อ</t>
  </si>
  <si>
    <t>- -(สกอ.) กลุ่มสาขาวิชาวิทยาศาสตร์และเทคโนโลยี </t>
  </si>
  <si>
    <t>- -(สกอ.) กลุ่มสาขาวิชาวิทยาศาสตร์สุขภาพ </t>
  </si>
  <si>
    <t>- -(สกอ.) กลุ่มสาขาวิชามนุษยศาสตร์และสังคมศาสตร์ </t>
  </si>
  <si>
    <t>(สกอ.) จำนวนนักวิจัยประจำที่ลาศึกษาต่อ</t>
  </si>
  <si>
    <t>- -(สกอ.) กลุ่มสาขาวิชาวิทยาศาสตร์และเทคโนโลยี  </t>
  </si>
  <si>
    <t>- -(สกอ.) กลุ่มสาขาวิชาวิทยาศาสตร์สุขภาพ  </t>
  </si>
  <si>
    <t>(สมศ.) จำนวนบทความวิจัยฯ ที่ตีพิมพ์ในรายงานสืบเนื่องจากการประชุมวิชาการระดับชาติ/ระดับนานาชาติ หรือตีพิมพ์ในวารสารวิชาการที่ปรากฎในฐานข้อมูล TCI (จำนวนบทความที่นับในค่าน้ำหนักนี้ จะต้องไม่ซ้ำกับที่นับในค่าน้ำหนักอื่นๆ)</t>
  </si>
  <si>
    <t>- -(สมศ.) กลุ่มสาขาวิชาวิทยาศาสตร์และเทคโนโลยี </t>
  </si>
  <si>
    <t>- -(สมศ.) กลุ่มสาขาวิชาวิทยาศาสตร์สุขภาพ</t>
  </si>
  <si>
    <t>- -(สมศ.) กลุ่มสาขาวิชามนุษยศาสตร์และสังคมศาสตร์</t>
  </si>
  <si>
    <t>(สมศ.) จำนวนบทความวิจัยฯ ที่ตีพิมพ์ในวารสารวิชาการระดับชาติที่มีชื่อปรากฎในประกาศของ สมศ. (จำนวนบทความที่นับในค่าน้ำหนักนี้ จะต้องไม่ซ้ำกับที่นับในค่าน้ำหนักอื่นๆ)</t>
  </si>
  <si>
    <t>- -(สมศ.) กลุ่มสาขาวิชาวิทยาศาสตร์และเทคโนโลยี</t>
  </si>
  <si>
    <t>(สมศ.) จำนวนบทความวิจัยฯ ที่ตีพิมพ์ในวารสารวิชาการระดับนานาชาติที่มีชื่อปรากฎอยู่ในประกาศของ สมศ. (จำนวนบทความที่นับในค่าน้ำหนักนี้ จะต้องไม่ซ้ำกับที่นับในค่าน้ำหนักอื่นๆ)</t>
  </si>
  <si>
    <t>(สมศ.) 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หรือ ISI หรือ Scopus (จำนวนบทความที่นับในค่าน้ำหนักนี้ จะต้องไม่ซ้ำกับที่นับในค่าน้ำหนักอื่นๆ)</t>
  </si>
  <si>
    <t>(สมศ.) จำนวนผลงานสร้างสรรค์ที่ได้รับการเผยแพร่ในระดับสถาบันหรือจังหวัด (ผลงานของอาจารย์ประจำและนักวิจัยประจำ)</t>
  </si>
  <si>
    <t>(สมศ.) จำนวนผลงานสร้างสรรค์ที่ได้รับการเผยแพร่ในระดับชาติ (ผลงานของอาจารย์ประจำและนักวิจัยประจำ)</t>
  </si>
  <si>
    <t>(สมศ.) จำนวนผลงานสร้างสรรค์ที่ได้รับการเผยแพร่ในระดับความร่วมมือระหว่างประเทศ (ผลงานของอาจารย์ประจำและนักวิจัยประจำ)</t>
  </si>
  <si>
    <t>(สมศ.) จำนวนผลงานสร้างสรรค์ที่ได้รับการเผยแพร่ในระดับภูมิภาคอาเซียน (ผลงานของอาจารย์ประจำและนักวิจัยประจำ)</t>
  </si>
  <si>
    <t>(สมศ.) จำนวนผลงานสร้างสรรค์ที่ได้รับการเผยแพร่ในระดับนานาชาติ (ผลงานของอาจารย์ประจำและนักวิจัยประจำ)</t>
  </si>
  <si>
    <t>(สมศ.) จำนวนรวมของผลงานวิจัยที่นำไปใช้ประโยชน์</t>
  </si>
  <si>
    <t>(สมศ.) จำนวนรวมของผลงานสร้างสรรค์ที่นำไปใช้ประโยชน์</t>
  </si>
  <si>
    <t>(สมศ.) จำนวนรวมของผลงานวิชาการที่ได้รับการรับรองคุณภาพ</t>
  </si>
  <si>
    <t>- -(สมศ.) บทความวิชาการที่ได้รับการตีพิมพ์ในวารสารระดับชาติ</t>
  </si>
  <si>
    <t>- -(สมศ.) บทความวิชาการที่ได้รับการตีพิมพ์ในวารสารระดับนานาชาติ</t>
  </si>
  <si>
    <t>- -(สมศ.) ตำราหรือหนังสือที่มีการประเมินผ่านตามเกณฑ์โดยผู้ทรงคุณวุฒิที่สถานศึกษากำหนด (ผลงานจะต้องเกินร้อยละ ๕๐ ของชิ้นงาน) </t>
  </si>
  <si>
    <t>- -(สมศ.) 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 หรือตำราหรือหนังสือที่มีคุณภาพสูงมีผู้ทรงคุณวุฒิตรวจอ่านตามเกณฑ์ขอตำแหน่งทางวิชาการ (ผลงานจะต้องเกินร้อยละ ๕๐ ของชิ้นงาน)</t>
  </si>
  <si>
    <t>(สมศ.) จำนวนโครงการ/กิจกรรมบริการวิชาการตามแผนที่สภาสถาบันอนุมัติ</t>
  </si>
  <si>
    <t>(สมศ.) จำนวนโครงการ/กิจกรรมบริการวิชาการ ที่นำมาใช้ในการพัฒนา เฉพาะการเรียนการสอน</t>
  </si>
  <si>
    <t>(สมศ.) จำนวนโครงการ/กิจกรรมบริการวิชาการ ที่นำมาใช้ในการพัฒนา เฉพาะการวิจัย</t>
  </si>
  <si>
    <t>(สมศ.) จำนวนโครงการ/กิจกรรมบริการวิชาการ ที่นำมาใช้ในการพัฒนา ทั้งการเรียนการสอนและการวิจัย</t>
  </si>
  <si>
    <t>(สมศ.) ระดับความพึงพอใจของบุคลากรและนักศึกษาที่เกี่ยวกับประเด็น ๑ - ๔ ไม่ต่ำกว่า ๓.๕๑ จากคะแนนเต็ม ๕</t>
  </si>
  <si>
    <t>(สมศ.) คะแนนผลการประเมินผลการดำเนินงานของสภาสถาบัน (คะแนนเต็ม ๕) </t>
  </si>
  <si>
    <t>(สมศ.) คะแนนการประเมินผลผู้บริหารโดยคณะกรรมการที่สภาสถาบันแต่งตั้ง (คะแนนเต็ม ๕) </t>
  </si>
  <si>
    <t>(สมศ.) ผลการประเมินความเห็นของบุคลากร เกี่ยวกับการปฏิบัติงานของสถาบันที่สอดคล้องกับอัตลักษณ์ (จากคะแนนเต็ม ๕)</t>
  </si>
  <si>
    <t>(สมศ.) จำนวนบัณฑิตระดับปริญญาตรีที่ได้รับการประเมินคุณลักษณะตามอัตลักษณ์</t>
  </si>
  <si>
    <t>(สมศ.) ค่าเฉลี่ยของคะแนนประเมินบัณฑิตระดับปริญญาตรีที่มีคุณลักษณะตามอัตลักษณ์ (คะแนนเต็ม ๕)</t>
  </si>
  <si>
    <t>(สมศ.) จำนวนบัณฑิตระดับปริญญาโทที่ได้รับการประเมินคุณลักษณะตามอัตลักษณ์</t>
  </si>
  <si>
    <t>(สมศ.) ค่าเฉลี่ยของคะแนนประเมินบัณฑิตระดับปริญญาโทที่มีคุณลักษณะตามอัตลักษณ์ (คะแนนเต็ม ๕)</t>
  </si>
  <si>
    <t>(สมศ.) จำนวนบัณฑิตระดับปริญญาเอกที่ได้รับการประเมินคุณลักษณะตามอัตลักษณ์</t>
  </si>
  <si>
    <t>(สมศ.) ค่าเฉลี่ยของคะแนนประเมินบัณฑิตระดับปริญญาเอกที่มีคุณลักษณะตามอัตลักษณ์ (คะแนนเต็ม ๕)</t>
  </si>
  <si>
    <t>(สมศ.) ผลรวมของค่าคะแนนที่ได้จากการประเมินบัณฑิตที่มีคุณลักษณะตามอัตลักษณ์</t>
  </si>
  <si>
    <t>(สมศ.) จำนวนบัณฑิตที่ได้รับการประเมินคุณลักษณะตามอัตลักษณ์ ทั้งหมด</t>
  </si>
  <si>
    <t>(สมศ.) ค่าเฉลี่ยของคะแนนประเมินบัณฑิตที่มีคุณลักษณะตามอัตลักษณ์ (คะแนนเต็ม ๕)</t>
  </si>
  <si>
    <t>(สมศ.) ผลการประเมินความพึงพอใจของบุคลากรที่เกี่ยวกับการดำเนินการตามจุดเน้น และจุดเด่น หรือความเชี่ยวชาญเฉพาะของสถานศึกษา (จากคะแนนเต็ม ๕)</t>
  </si>
  <si>
    <t>(กพร.) จำนวนนักศึกษาที่เข้าสอบภาษาต่างประเทศทั้งหมด</t>
  </si>
  <si>
    <t>- -(กพร.) จำนวนนักศึกษาที่เข้าสอบภาษาเกาหลี</t>
  </si>
  <si>
    <t>- -(กพร.) จำนวนนักศึกษาที่เข้าสอบภาษาเขมร</t>
  </si>
  <si>
    <t>- -(กพร.) จำนวนนักศึกษาที่เข้าสอบภาษาจีนกลาง</t>
  </si>
  <si>
    <t>- -(กพร.) จำนวนนักศึกษาที่เข้าสอบภาษาญี่ปุ่น</t>
  </si>
  <si>
    <t>- -(กพร.) จำนวนนักศึกษาที่เข้าสอบภาษาทมิฬ</t>
  </si>
  <si>
    <t>- -(กพร.) จำนวนนักศึกษาที่เข้าสอบภาษาพม่า</t>
  </si>
  <si>
    <t>- -(กพร.) จำนวนนักศึกษาที่เข้าสอบภาษาฟิลิปิโน</t>
  </si>
  <si>
    <t>- -(กพร.) จำนวนนักศึกษาที่เข้าสอบภาษามลายู</t>
  </si>
  <si>
    <t>- -(กพร.) จำนวนนักศึกษาที่เข้าสอบภาษามาเลย์</t>
  </si>
  <si>
    <t>- -(กพร.) จำนวนนักศึกษาที่เข้าสอบภาษาลาว</t>
  </si>
  <si>
    <t>- -(กพร.) จำนวนนักศึกษาที่เข้าสอบภาษาเวียดนาม</t>
  </si>
  <si>
    <t>- -(กพร.) จำนวนนักศึกษาที่เข้าสอบภาษาอังกฤษ</t>
  </si>
  <si>
    <t>- -(กพร.) จำนวนนักศึกษาที่เข้าสอบภาษาอินโดนีเซีย</t>
  </si>
  <si>
    <t>- -(กพร.) จำนวนนักศึกษาที่เข้าสอบภาษาตามกฎหมายที่ใช้ในกลุ่มประเทศอาเซียนอื่นๆ</t>
  </si>
  <si>
    <t>(กพร.) จำนวนนักศึกษาที่สอบผ่านเกณฑ์การทดสอบความรู้ความสามารถด้านภาษาต่างประเทศที่กำหนดทั้งหมด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</si>
  <si>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จำนวนนักศึกษาที่สอบผ่านเกณฑ์การทดสอบความรู้ความสามารถด้านภาษาเกาหลีที่กำหนด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</si>
  <si>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เขมรที่กำหนด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</si>
  <si>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จำนวนนักศึกษาที่สอบผ่านเกณฑ์การทดสอบความรู้ความสามารถด้านภาษาจีนกลางที่กำหนด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</si>
  <si>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จำนวนนักศึกษาที่สอบผ่านเกณฑ์การทดสอบความรู้ความสามารถด้านภาษาญี่ปุ่นที่กำหนด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</si>
  <si>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จำนวนนักศึกษาที่สอบผ่านเกณฑ์การทดสอบความรู้ความสามารถด้านภาษาทมิฬที่กำหนด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</si>
  <si>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จำนวนนักศึกษาที่สอบผ่านเกณฑ์การทดสอบความรู้ความสามารถด้านภาษาพม่าที่กำหนด 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</si>
  <si>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จำนวนนักศึกษาที่สอบผ่านเกณฑ์การทดสอบความรู้ความสามารถด้านภาษาฟิลิปิโนที่กำหนด 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</si>
  <si>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จำนวนนักศึกษาที่สอบผ่านเกณฑ์การทดสอบความรู้ความสามารถด้านภาษามาเลย์ที่กำหนด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</si>
  <si>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จำนวนนักศึกษาที่สอบผ่านเกณฑ์การทดสอบความรู้ความสามารถด้านภาษามลายูที่กำหนด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</si>
  <si>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จำนวนนักศึกษาที่สอบผ่านเกณฑ์การทดสอบความรู้ความสามารถด้านภาษาลาวที่กำหนด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</si>
  <si>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จำนวนนักศึกษาที่สอบผ่านเกณฑ์การทดสอบความรู้ความสามารถด้านภาษาเวียดนามที่กำหนด 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</si>
  <si>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จำนวนนักศึกษาที่สอบผ่านเกณฑ์การทดสอบความรู้ความสามารถด้านภาษาอังกฤษที่กำหนด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</si>
  <si>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จำนวนนักศึกษาที่สอบผ่านเกณฑ์การทดสอบความรู้ความสามารถด้านภาษาอินโดนีเซียที่กำหนด (ได้คะแนนในระดับไม่ต่ำกว่าร้อยละ 60 ของคะแนนเต็ม)</t>
  </si>
  <si>
    <t>- -(กพร.) จำนวนนักศึกษาที่สอบผ่านเกณฑ์การทดสอบความรู้ความสามารถด้านภาษาตามกฎหมายที่ใช้ในกลุ่มประเทศอาเซียนอื่นๆ  (ได้คะแนนในระดับไม่ต่ำกว่าร้อยละ 60 ของคะแนนเต็ม)</t>
  </si>
  <si>
    <t>(สกอ.) จำนวนกิจกรรมสนับสนุนนโยบายสถานศึกษา 3D ด้านการส่งเสริมประชาธิปไตย</t>
  </si>
  <si>
    <t>(สกอ.) จำนวนกิจกรรมสนับสนุนนโยบายสถานศึกษา 3D ด้านการส่งเสริมให้มีคุณธรรม จริยธรรมและความเป็นไทย</t>
  </si>
  <si>
    <t>(สกอ.) จำนวนกิจกรรมสนับสนุนนโยบายสถานศึกษา 3D ด้านการสร้างภูมิคุ้มกันภัยจากยาเสพติดทุกชนิด</t>
  </si>
  <si>
    <t>ได้ตรวจสอบผลการประเมินคุณภาพภายใน ซึ่งคณะกรรมการประเมินคุณภาพภายในได้ทำการตรวจประเมินคุณภาพ</t>
  </si>
  <si>
    <t xml:space="preserve">การตรวจประเมินคุณภาพภายในประจำปีการศึกษา 2555 </t>
  </si>
  <si>
    <t>สมศ. 11 ตัวแรก</t>
  </si>
  <si>
    <t>องค์ประกอบที่ 1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</si>
  <si>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</si>
  <si>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</si>
  <si>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</si>
  <si>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</si>
  <si>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องค์ประกอบที่ 7</t>
  </si>
  <si>
    <t>องค์ประกอบที่ 8</t>
  </si>
  <si>
    <t>องค์ประกอบที่ 9</t>
  </si>
  <si>
    <t>ตัวบ่งชี้ที่ 2.8 ระดับความสำเร็จของการเสริมสร้างคุณธรรมจริยธรรมที่จัดให้กับนักศึกษา</t>
  </si>
  <si>
    <t>(…………………………………………..)</t>
  </si>
  <si>
    <t>ผู้ทรงคุณวุฒิ …………………………………………</t>
  </si>
  <si>
    <t>(………………………………………….)</t>
  </si>
  <si>
    <t>คณะ………………………..มหาวิทยาลัยเทคโนโลยีราชมงคลรัตนโกสินทร์</t>
  </si>
  <si>
    <t>(………………………………………..)</t>
  </si>
  <si>
    <t>คณะ…………………. มหาวิทยาลัยเทคโนโลยีราชมงคลรัตนโกสินทร์</t>
  </si>
  <si>
    <t>………………………มหาวิทยาลัยเทคโนโลยีราชมงคลรัตนโกสินทร์</t>
  </si>
  <si>
    <t>(…………………………………………….)</t>
  </si>
  <si>
    <t>คณะ……………………………………………</t>
  </si>
  <si>
    <t>(……………………………………..)</t>
  </si>
  <si>
    <t>คณะ…………………….มหาวิทยาลัยเทคโนโลยีราชมงคลรัตนโกสินทร์</t>
  </si>
  <si>
    <t>คณะ………………………….มหาวิทยาลัยเทคโนโลยีราชมงคลรัตนโกสินทร์</t>
  </si>
  <si>
    <t>(……………………………………………….)</t>
  </si>
  <si>
    <t>…………………………………. มหาวิทยาลัยเทคโนโลยีราชมงคลรัตนโกสินทร์</t>
  </si>
  <si>
    <t>(……………………………………...)</t>
  </si>
  <si>
    <t>……………………………………….</t>
  </si>
  <si>
    <t>คณะ…………………... มหาวิทยาลัยเทคโนโลยีราชมงคลรัตนโกสินทร์</t>
  </si>
  <si>
    <t>(……………………………………………...)</t>
  </si>
  <si>
    <t>………………………...มหาวิทยาลัยเทคโนโลยีราชมงคลรัตนโกสินทร์</t>
  </si>
  <si>
    <t>(…………………………………..)</t>
  </si>
  <si>
    <t>………………………….   มหาวิทยาลัยเทคโนโลยีราชมงคลรัตนโกสินทร์</t>
  </si>
  <si>
    <t>นักศึกษา………………………………………</t>
  </si>
  <si>
    <t>(…………………………………………...)</t>
  </si>
  <si>
    <t>นักศึกษาคณะ……………………………………</t>
  </si>
  <si>
    <t>ข้าพเจ้า……………………………….คณบดีคณะ……………………………………………………</t>
  </si>
  <si>
    <t>ภายในของคณะ……………………………………. ระหว่างวันที่…………...พฤษภาคม 2556 เป็นที่เรียบร้อยแล้ว</t>
  </si>
  <si>
    <t>และข้าพเจ้าในฐานะผู้บริหารระดับสูงของคณะ………………………………………………………...ขอรับรองผล</t>
  </si>
  <si>
    <t>(………………………………………………...)</t>
  </si>
  <si>
    <t>คณบดีคณะ………………………………………….</t>
  </si>
  <si>
    <t>วันที่ ……………….  พฤษภาคม 2556</t>
  </si>
  <si>
    <t>เฉลี่ยรวมทุกตัวบ่งชี้ 9องค์ประกอบ</t>
  </si>
  <si>
    <t>ไม่นับตัวบ่งชี้ สมศ. ที่  15</t>
  </si>
  <si>
    <t xml:space="preserve">องค์ประกอบที่ 9 </t>
  </si>
  <si>
    <t xml:space="preserve">องค์ประกอบที่ 8 </t>
  </si>
  <si>
    <t xml:space="preserve">องค์ประกอบที่ 7 </t>
  </si>
  <si>
    <t xml:space="preserve">องค์ประกอบที่ 6 </t>
  </si>
  <si>
    <t xml:space="preserve">องค์ประกอบที่ 5 </t>
  </si>
  <si>
    <t xml:space="preserve">องค์ประกอบที่ 4 </t>
  </si>
  <si>
    <t xml:space="preserve">องค์ประกอบที่ 3 </t>
  </si>
  <si>
    <t>ตัวชี้บ่งคณะอุตสาหกรรมและเทคโนโลยี</t>
  </si>
  <si>
    <t>O</t>
  </si>
  <si>
    <t>P</t>
  </si>
  <si>
    <t>I</t>
  </si>
  <si>
    <t>ตัวบ่งชี้ทั้งหมดของคณะอุตสาหกรรมและเทคโนโลยี(ไม่รวมสมศ.)</t>
  </si>
  <si>
    <r>
      <rPr>
        <b/>
        <sz val="14"/>
        <rFont val="Cordia New"/>
        <family val="2"/>
      </rPr>
      <t>ผลการประเมิน</t>
    </r>
    <r>
      <rPr>
        <sz val="14"/>
        <rFont val="Cordia New"/>
        <family val="2"/>
      </rPr>
      <t xml:space="preserve">
0.00-1.50 การดำเนินงานต้องปรับปรุงเร่งด่วน
1.51-2.50 การดำเนินงาน ต้องปรับปรุง
2.51-3.50 การดำเนินงาน ระดับพอใช้
3.51-4.50 การดำเนินงาน ระดับดี
4.51-5 การดำเนินงาน ระดับดีมาก</t>
    </r>
  </si>
  <si>
    <t>คะแนนการประเมินเฉลี่ย</t>
  </si>
  <si>
    <t>องค์ประกอบคุณภาพ</t>
  </si>
  <si>
    <t>เฉลี่ยรวมทุกตัวบ่งชี้ของทุกองค์ประกอบ</t>
  </si>
  <si>
    <t>องค์ประกอบที่ 10</t>
  </si>
  <si>
    <t>เฉลี่ยรวมทุกตัวบ่งชี้ของทุกมาตรฐาน</t>
  </si>
  <si>
    <t>มาตรฐานที่ 3</t>
  </si>
  <si>
    <t>มาตรฐานที่ 2 ข</t>
  </si>
  <si>
    <t>มาตรฐานที่ 2 ก</t>
  </si>
  <si>
    <t>มาตรฐานที่ 2</t>
  </si>
  <si>
    <t xml:space="preserve">มาตรฐานที่ 1 </t>
  </si>
  <si>
    <t>ผลการประเมิน
0.00-1.50 การดำเนินงานต้องปรับปรุงเร่งด่วน
1.51-2.50 การดำเนินงาน ต้องปรับปรุง
2.51-3.50 การดำเนินงาน ระดับพอใช้
3.51-4.50 การดำเนินงาน ระดับดี
4.51-5 การดำเนินงาน ระดับดีมาก</t>
  </si>
  <si>
    <t>มาตรฐานอุดมศึกษา</t>
  </si>
  <si>
    <t>เฉลี่ยรวมทุกตัวบ่งชี้ของทุกมุมมอง</t>
  </si>
  <si>
    <t>ด้านที่ 4 บุคลากรการเรียนรู้และนวัตกรรม(Learning and Innovation)</t>
  </si>
  <si>
    <t>ด้านที่ 3 การเงิน(Finance)</t>
  </si>
  <si>
    <t>ด้านที่ 2 กระบวนการภายใน(Internal Process)</t>
  </si>
  <si>
    <t>ด้านที่ 1 นักศึกษาและผู้มีส่วนได้ส่วนเสีย(Customer)</t>
  </si>
  <si>
    <t>มุมมอง</t>
  </si>
  <si>
    <t>เฉลี่ยรวมทุกตัวบ่งชี้ ของทุกมาตรฐาน</t>
  </si>
  <si>
    <t>เฉลี่ยรวมทุกตัวบ่งชี้ ของมาตรฐานที่ 2</t>
  </si>
  <si>
    <t>(4) ด้านการทำนุบำรุงศิลปะและวัฒนธรรม</t>
  </si>
  <si>
    <t>(3) ด้านการให้บริการวิชาการแก่สังคม</t>
  </si>
  <si>
    <t>(2) ด้านการวิจัย</t>
  </si>
  <si>
    <t>(1) ด้านการผลิตบัณฑิต</t>
  </si>
  <si>
    <t>2. มาตรฐานด้านการดำเนินการ ตามภาระกิจของสถาบันอุดมศึกษา</t>
  </si>
  <si>
    <t>เฉลี่ยรวมทุกตัวบ่งชี้ ของมาตรฐานที่ 1</t>
  </si>
  <si>
    <t>(4) ด้านบริหารจัดการ</t>
  </si>
  <si>
    <t>(3) ด้านการเงิน</t>
  </si>
  <si>
    <t>(2) ด้านวิชาการ</t>
  </si>
  <si>
    <t>(1) ด้านกายภาพ</t>
  </si>
  <si>
    <t>1.มาตรฐานด้านศักยภาพและความพร้อมในการจัดการศึกษา</t>
  </si>
  <si>
    <t>มาตรฐานสถาบันอุดมศึกษา</t>
  </si>
  <si>
    <t xml:space="preserve"> ป. 2 ตารางสรุปผลการประเมินตามองค์ประกอบการประกันคุณภาพภายใน(เฉพาะ สกอ.) ประจำปีการศึกษา 2555</t>
  </si>
  <si>
    <t>ตัวบ่งชี้ทั้งหมด(รวมสมศ.)</t>
  </si>
  <si>
    <t>รวมคะแนนเฉพาะตัวบ่งชี้ สกอ. + สมศ.</t>
  </si>
  <si>
    <t>สรุปตัวชี้วัดที่ต้องดำเนินการในแต่ละระดับการประเมินคุณภาพการศึกษาภายในประจำปีการศึกษา 2556</t>
  </si>
  <si>
    <t>ทำร่วมกับ ม.</t>
  </si>
  <si>
    <t>รอผลจาก ม.</t>
  </si>
  <si>
    <t>หมายเหตุ sheet ที่สีเขียวหมายถึง สาขาทำ sheet ที่สีเขียว+สีแดง คณะทำ</t>
  </si>
  <si>
    <t>สำนักวิทยาบริการและเทคโนโลยีสารสนเทศ</t>
  </si>
  <si>
    <t>สถาบันวิจัยและพัฒนา</t>
  </si>
  <si>
    <t>สำนักงานอธิการบดี</t>
  </si>
  <si>
    <t>สำนักส่งเสริมวิชาการและงานทะเบียน</t>
  </si>
  <si>
    <t>สำนักงานวิทยาเขตวังไกลกังวล</t>
  </si>
  <si>
    <t xml:space="preserve"> ประจำปีการศึกษา 2556 (รอบ 9 เดือน)</t>
  </si>
  <si>
    <t>(วันที่ ………. มีนาคม พ.ศ. 2557)</t>
  </si>
  <si>
    <t>รายงานการประเมินคุณภาพภายในระดับภาควิชาหรือหน่วยงานเทียบเท่าปีการศึกษา 2556</t>
  </si>
  <si>
    <t>รายงานผลการประเมินคุณภาพการศึกษาภายใน ปีการศึกษา 2556</t>
  </si>
  <si>
    <t>ผลการดำเนินงาน เฉพาะปี 56</t>
  </si>
  <si>
    <t>ข้อมูล(เฉพาะปี 56)</t>
  </si>
  <si>
    <t>ข้อมูล (เฉพาะปี 56)</t>
  </si>
  <si>
    <t xml:space="preserve">ข้อมูล </t>
  </si>
  <si>
    <t>ผลการดำเนินงานเฉพาะปี 56</t>
  </si>
  <si>
    <t>งานวิจัย</t>
  </si>
  <si>
    <t>งานสร้างสรรค์</t>
  </si>
  <si>
    <t>การใช้ประโยชน์ทางอ้อมของงานวิจัย</t>
  </si>
  <si>
    <t>เป้าหมายคุณภาพการดำเนินงานด้านประกันคุณภาพ</t>
  </si>
  <si>
    <t>ส. 2 ตารางสรุปผลการประเมินตามองค์ประกอบการประกันคุณภาพภายใน ประจำปีการศึกษา 2556</t>
  </si>
  <si>
    <t>ส.1 รายงานการประเมินรายตัวบ่งชี้ของการประกันคุณภาพภายใน ปีการศึกษา 2556</t>
  </si>
  <si>
    <t>ส. 3 ตารางสรุปผลการประเมินตามมาตรฐานการอุดมศึกษา ประจำปีการศึกษา 2556</t>
  </si>
  <si>
    <t>ส. 4  ตารางสรุปผลการประเมินตามมุมมองการบริหารจัดการที่สำคัญ ประจำปีการศึกษา 2556</t>
  </si>
  <si>
    <t>ส. 5  ตารางสรุปผลการประเมินตามมาตรฐานสถาบันอุดมศึกษา ประจำปีการศึกษา 2556</t>
  </si>
  <si>
    <t>สวก</t>
  </si>
  <si>
    <t>ปี งปม.</t>
  </si>
  <si>
    <t>ปี กศ.</t>
  </si>
  <si>
    <t>ให้ข้อมูล ม. และรอผล</t>
  </si>
  <si>
    <t>ปี ก.ศ.</t>
  </si>
  <si>
    <t xml:space="preserve"> 3D 11.1</t>
  </si>
  <si>
    <t>3D 11.2</t>
  </si>
  <si>
    <t>ด้าน</t>
  </si>
  <si>
    <t>เอกสารหลักฐาน</t>
  </si>
  <si>
    <t>ตัวบ่งชี้ที่ 11.2 ผลที่เกิดกับผู้เรียนตามนโยบาย 3 ดี (3D) มีความรู้ เจตนคติที่ดี ตลอดจนเกิดพฤติกรรมตามคุณลักษณะที่พึงประสงค์ทั้ง 3 ด้าน</t>
  </si>
  <si>
    <t>ตัวบ่งชี้ที่ 11.1 การบริหารจัดการสถานศึกษา 3 ดี (3D)</t>
  </si>
  <si>
    <t>องค์ประกอบที่ 11 สถานศึกษา 3D</t>
  </si>
  <si>
    <t>องค์ประกอบที่ 11  สถานศึกษา 3D</t>
  </si>
  <si>
    <t>รวมคะแนนทุกองค์ประกอบ+อัตลักษณ์+3D</t>
  </si>
  <si>
    <t>ตัวบ่งชี้อัตลักษณ์ 11.1 การบริหารจัดการสถานศึกษา 3 ดี (3D)</t>
  </si>
  <si>
    <t>1. วางแผนพัฒนาสถานศึกษาตามแนวนโยบายสถานศึกษา 3 ดี(3D) และส่งเสริมสนับสนุนทั้งทรัพยากร สิ่งอำนวยความสะดวก และบุคคล</t>
  </si>
  <si>
    <t>2. จัดการเรียนรู้ จัดกิจกรรมด้านประชาธิปไตย ด้านคุณธรรม จริยธรรม และด้านภูมิคุ้มกันภัยจากยาเสพติด</t>
  </si>
  <si>
    <t>3.พัฒนาคณาจารย์และบุคลากรทางการศึกษา ให้มีองค์ความรู้และทักษะการปฏิบัติงานเพื่อการพัฒนาสถานศึกษา 3 ดี (3D)</t>
  </si>
  <si>
    <t>4. ให้ความร่วมมือกับทุกฝ่ายในการดำเนินงานนโยบายคุณภาพสถานศึกษา 3 ดี(3D)</t>
  </si>
  <si>
    <t>5. กำกับ ติดตามให้สถานศึกษาพัฒนาหรือมีนวัตกรรมส่งเสริมให้การดำเนินงานเป็นไปตามมาตรฐานสถานศึกษา 3 ดี (3D)</t>
  </si>
  <si>
    <t>1. มีกิจกรรมสนับสนุนนโยบายสถานศึกษา 3 ดี จำนวน 1 ด้าน</t>
  </si>
  <si>
    <t>ตัวบ่งชี้อัตลักษณ์ 11.2 ผลที่เกิดกับผู้เรียนตามนโยบาย 3 ดี (3D) มีความรู้ เจตนคติที่ดี ตลอดจนเกิดพฤติกรรมตามคุณลักษณะที่พึงประสงค์ทั้ง 3 ด้าน</t>
  </si>
  <si>
    <t>2. มีกิจกรรมสนับสนุนนโยบายสถานศึกษา 3 ดี จำนวน 2 ด้าน</t>
  </si>
  <si>
    <t>3.มีกิจกรรมสนับสนุนนโยบายสถานศึกษา 3 ดี จำนวน 3 ด้าน</t>
  </si>
  <si>
    <t>ตัวบ่งชี้ที่ 7-12 การปฏิบัติตามบทบาทหน้าที่ของสภาสถาบัน(สมศ.13)</t>
  </si>
  <si>
    <t>บทสรุปผู้บริหาร</t>
  </si>
  <si>
    <t>(ใส่ชื่อสาขาต้องพิมพ์ ถ้าจัดทำในระดับสาขา ถ้าในระดับคณะหน่วยงานว่างไว้)</t>
  </si>
  <si>
    <t>จุดแข็ง/จุดที่ควรพัฒนา/ข้อเสนอแนะเพื่อการพัฒนา/แนวปฏิบัติที่ดี</t>
  </si>
  <si>
    <t xml:space="preserve">หมายเหตุ  </t>
  </si>
  <si>
    <t>ถ้าว่าง หรือไม่มีข้อมูลให้ใส่ " - "</t>
  </si>
  <si>
    <t>ถ้ามีข้อมูล แต่เป็น 0 ให้ใส่ " 0 "</t>
  </si>
  <si>
    <t>จำนวนผลงานที่ได้รับการตีพิมพ์ นับตามปีการศึกษา</t>
  </si>
  <si>
    <t xml:space="preserve">ผลการดำเนินงาน </t>
  </si>
  <si>
    <t>ขั้นตอนการดำเนินงาน</t>
  </si>
  <si>
    <t>สภาสถาบันทำพันธกิจครบถ้วนตามภาระหน้าที่ที่กำหนดในพระราชบัญญัติของสถานศึกษา</t>
  </si>
  <si>
    <t>สภาสถาบันกำหนดยุทธศาสตร์ ทิศทาง กำกับนโยบาย ข้อบังคับ ระเบียบ</t>
  </si>
  <si>
    <t>สภาสถาบันทำตามกฎระเบียบข้อบังคับของต้นสังกัด และหน่วยงานที่เกี่ยวข้อง</t>
  </si>
  <si>
    <t>สภาสถาบันกำกับ ติดตาม การดำเนินงานของผู้บริหารสถานศึกษา</t>
  </si>
  <si>
    <t>สภาสถาบันดำเนินงานโดยใช้หลักธรรมภิบาลครบทั้ง 10 ประเด็น</t>
  </si>
  <si>
    <t xml:space="preserve">ขั้นตอนการดำเนินงาน </t>
  </si>
  <si>
    <t>สถานะการดำเนินงาน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</si>
</sst>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0.000"/>
    <numFmt numFmtId="167" formatCode="#,##0.0"/>
    <numFmt numFmtId="168" formatCode="0.0"/>
    <numFmt numFmtId="169" formatCode="#,##0.00_ ;\-#,##0.00\ 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Angsana New"/>
      <family val="1"/>
    </font>
    <font>
      <sz val="15"/>
      <name val="Arial"/>
      <family val="2"/>
    </font>
    <font>
      <b/>
      <sz val="15"/>
      <name val="Angsana New"/>
      <family val="1"/>
    </font>
    <font>
      <sz val="14"/>
      <name val="Wingdings"/>
      <charset val="2"/>
    </font>
    <font>
      <b/>
      <sz val="14"/>
      <name val="Angsana New"/>
      <family val="1"/>
    </font>
    <font>
      <sz val="10"/>
      <name val="Angsana New"/>
      <family val="1"/>
    </font>
    <font>
      <sz val="15"/>
      <name val="Cordia New"/>
      <family val="2"/>
    </font>
    <font>
      <b/>
      <sz val="15"/>
      <name val="Cordia New"/>
      <family val="2"/>
    </font>
    <font>
      <sz val="10"/>
      <name val="Arial"/>
      <family val="2"/>
    </font>
    <font>
      <sz val="15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5"/>
      <name val="Wingdings"/>
      <charset val="2"/>
    </font>
    <font>
      <sz val="10"/>
      <name val="Wingdings"/>
      <charset val="2"/>
    </font>
    <font>
      <sz val="14"/>
      <name val="Arial"/>
      <family val="2"/>
    </font>
    <font>
      <b/>
      <sz val="16"/>
      <name val="Wingdings"/>
      <charset val="2"/>
    </font>
    <font>
      <sz val="10"/>
      <name val="Arial"/>
      <family val="2"/>
    </font>
    <font>
      <b/>
      <i/>
      <sz val="16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5"/>
      <color rgb="FFFF0000"/>
      <name val="Angsana New"/>
      <family val="1"/>
    </font>
    <font>
      <sz val="11"/>
      <color theme="1"/>
      <name val="Calibri"/>
      <family val="2"/>
      <scheme val="minor"/>
    </font>
    <font>
      <b/>
      <sz val="20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Wingdings"/>
      <charset val="2"/>
    </font>
    <font>
      <sz val="14"/>
      <name val="TH SarabunIT๙"/>
      <family val="2"/>
    </font>
    <font>
      <b/>
      <sz val="14"/>
      <color indexed="36"/>
      <name val="Angsana New"/>
      <family val="1"/>
    </font>
    <font>
      <sz val="14"/>
      <color indexed="36"/>
      <name val="Angsana New"/>
      <family val="1"/>
    </font>
    <font>
      <sz val="14"/>
      <color indexed="10"/>
      <name val="Angsana New"/>
      <family val="1"/>
    </font>
    <font>
      <sz val="14"/>
      <color indexed="10"/>
      <name val="TH SarabunIT๙"/>
      <family val="2"/>
    </font>
    <font>
      <b/>
      <sz val="14"/>
      <color indexed="10"/>
      <name val="Angsana New"/>
      <family val="1"/>
    </font>
    <font>
      <sz val="14"/>
      <color indexed="10"/>
      <name val="Wingdings"/>
      <charset val="2"/>
    </font>
    <font>
      <b/>
      <sz val="14"/>
      <color theme="0"/>
      <name val="Angsana New"/>
      <family val="1"/>
    </font>
    <font>
      <b/>
      <sz val="14"/>
      <color rgb="FFFF0000"/>
      <name val="Angsana New"/>
      <family val="1"/>
    </font>
    <font>
      <b/>
      <sz val="20"/>
      <name val="Angsana New"/>
      <family val="1"/>
    </font>
    <font>
      <sz val="13"/>
      <name val="Angsana New"/>
      <family val="1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8"/>
      <color rgb="FFFF0000"/>
      <name val="TH SarabunIT๙"/>
      <family val="2"/>
    </font>
    <font>
      <b/>
      <sz val="24"/>
      <name val="TH SarabunIT๙"/>
      <family val="2"/>
    </font>
    <font>
      <b/>
      <sz val="24"/>
      <name val="Angsana New"/>
      <family val="1"/>
    </font>
    <font>
      <sz val="14"/>
      <color theme="2" tint="-9.9978637043366805E-2"/>
      <name val="Arial"/>
      <family val="2"/>
    </font>
    <font>
      <b/>
      <sz val="16"/>
      <color rgb="FFFF0000"/>
      <name val="Angsana New"/>
      <family val="1"/>
    </font>
    <font>
      <sz val="15"/>
      <color theme="1"/>
      <name val="Angsana New"/>
      <family val="1"/>
    </font>
    <font>
      <sz val="14"/>
      <color theme="0" tint="-4.9989318521683403E-2"/>
      <name val="Angsana New"/>
      <family val="1"/>
    </font>
    <font>
      <sz val="14"/>
      <color theme="0" tint="-0.14999847407452621"/>
      <name val="Arial"/>
      <family val="2"/>
    </font>
    <font>
      <sz val="14"/>
      <color indexed="36"/>
      <name val="AngsanaUPC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b/>
      <sz val="12"/>
      <name val="Cordia New"/>
      <family val="2"/>
    </font>
    <font>
      <b/>
      <sz val="16"/>
      <name val="Cordia New"/>
      <family val="2"/>
    </font>
    <font>
      <sz val="11"/>
      <name val="Calibri"/>
      <family val="2"/>
    </font>
    <font>
      <b/>
      <sz val="14"/>
      <color indexed="36"/>
      <name val="Cordia New"/>
      <family val="2"/>
    </font>
    <font>
      <b/>
      <sz val="14"/>
      <color theme="0" tint="-4.9989318521683403E-2"/>
      <name val="Angsana New"/>
      <family val="1"/>
    </font>
    <font>
      <b/>
      <sz val="20"/>
      <color rgb="FFFF0000"/>
      <name val="Cordia New"/>
      <family val="2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8"/>
      <color theme="1"/>
      <name val="AngsanaUPC"/>
      <family val="1"/>
    </font>
    <font>
      <sz val="18"/>
      <color rgb="FFFF0000"/>
      <name val="AngsanaUPC"/>
      <family val="1"/>
    </font>
    <font>
      <sz val="16"/>
      <color theme="1"/>
      <name val="AngsanaUPC"/>
      <family val="1"/>
    </font>
    <font>
      <b/>
      <sz val="14"/>
      <color rgb="FFFFFF00"/>
      <name val="Angsana New"/>
      <family val="1"/>
    </font>
    <font>
      <b/>
      <sz val="18"/>
      <color theme="3" tint="-0.249977111117893"/>
      <name val="Angsana New"/>
      <family val="1"/>
    </font>
    <font>
      <sz val="14"/>
      <color theme="3" tint="-0.249977111117893"/>
      <name val="Angsana New"/>
      <family val="1"/>
    </font>
    <font>
      <sz val="14"/>
      <color theme="3" tint="-0.249977111117893"/>
      <name val="TH SarabunIT๙"/>
      <family val="2"/>
    </font>
    <font>
      <b/>
      <sz val="10"/>
      <color theme="3" tint="-0.249977111117893"/>
      <name val="Arial"/>
      <family val="2"/>
    </font>
    <font>
      <b/>
      <sz val="20"/>
      <color rgb="FFFF0000"/>
      <name val="Angsana New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B696B"/>
        <bgColor indexed="64"/>
      </patternFill>
    </fill>
    <fill>
      <patternFill patternType="solid">
        <fgColor rgb="FFF7F7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22" fillId="0" borderId="0" applyFont="0" applyFill="0" applyBorder="0" applyAlignment="0" applyProtection="0"/>
    <xf numFmtId="0" fontId="28" fillId="0" borderId="0"/>
    <xf numFmtId="0" fontId="11" fillId="0" borderId="0"/>
    <xf numFmtId="164" fontId="11" fillId="0" borderId="0" applyFont="0" applyFill="0" applyBorder="0" applyAlignment="0" applyProtection="0"/>
    <xf numFmtId="0" fontId="64" fillId="0" borderId="0"/>
  </cellStyleXfs>
  <cellXfs count="9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3" fontId="0" fillId="0" borderId="0" xfId="0" applyNumberFormat="1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8" xfId="0" applyFont="1" applyBorder="1" applyAlignment="1" applyProtection="1">
      <alignment vertical="top" wrapText="1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>
      <alignment horizontal="left" vertical="top" wrapText="1"/>
    </xf>
    <xf numFmtId="0" fontId="9" fillId="0" borderId="0" xfId="0" applyFont="1"/>
    <xf numFmtId="0" fontId="4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3" fontId="3" fillId="0" borderId="0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Protection="1">
      <protection hidden="1"/>
    </xf>
    <xf numFmtId="2" fontId="3" fillId="0" borderId="0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3" fontId="9" fillId="0" borderId="1" xfId="0" applyNumberFormat="1" applyFont="1" applyBorder="1" applyAlignment="1" applyProtection="1">
      <alignment vertical="top"/>
      <protection hidden="1"/>
    </xf>
    <xf numFmtId="0" fontId="11" fillId="0" borderId="0" xfId="0" applyFont="1"/>
    <xf numFmtId="2" fontId="3" fillId="0" borderId="2" xfId="0" applyNumberFormat="1" applyFont="1" applyBorder="1" applyAlignment="1" applyProtection="1">
      <alignment horizontal="left" vertical="top" wrapText="1"/>
      <protection hidden="1"/>
    </xf>
    <xf numFmtId="3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5" fillId="0" borderId="6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2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0" fontId="3" fillId="0" borderId="10" xfId="0" applyFont="1" applyBorder="1" applyProtection="1"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3" fillId="0" borderId="10" xfId="0" applyNumberFormat="1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Alignment="1">
      <alignment vertical="top" wrapText="1"/>
    </xf>
    <xf numFmtId="0" fontId="0" fillId="0" borderId="10" xfId="0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/>
    <xf numFmtId="0" fontId="17" fillId="0" borderId="0" xfId="0" applyFont="1" applyAlignment="1" applyProtection="1">
      <protection hidden="1"/>
    </xf>
    <xf numFmtId="0" fontId="8" fillId="0" borderId="0" xfId="0" applyFont="1"/>
    <xf numFmtId="0" fontId="18" fillId="0" borderId="0" xfId="0" applyFont="1" applyProtection="1">
      <protection hidden="1"/>
    </xf>
    <xf numFmtId="0" fontId="19" fillId="0" borderId="0" xfId="0" applyFont="1"/>
    <xf numFmtId="0" fontId="0" fillId="0" borderId="0" xfId="0" applyFill="1" applyProtection="1">
      <protection hidden="1"/>
    </xf>
    <xf numFmtId="0" fontId="13" fillId="0" borderId="0" xfId="0" applyFont="1"/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/>
    <xf numFmtId="0" fontId="14" fillId="0" borderId="1" xfId="0" applyFont="1" applyBorder="1" applyAlignment="1" applyProtection="1">
      <alignment vertical="top" wrapText="1"/>
      <protection hidden="1"/>
    </xf>
    <xf numFmtId="0" fontId="20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vertical="top"/>
      <protection locked="0" hidden="1"/>
    </xf>
    <xf numFmtId="0" fontId="14" fillId="0" borderId="1" xfId="0" applyFont="1" applyBorder="1" applyAlignment="1" applyProtection="1">
      <alignment vertical="top" wrapText="1" readingOrder="1"/>
      <protection hidden="1"/>
    </xf>
    <xf numFmtId="0" fontId="16" fillId="0" borderId="14" xfId="0" applyFont="1" applyFill="1" applyBorder="1" applyAlignment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Border="1"/>
    <xf numFmtId="0" fontId="0" fillId="0" borderId="0" xfId="0" applyBorder="1"/>
    <xf numFmtId="3" fontId="9" fillId="0" borderId="4" xfId="0" applyNumberFormat="1" applyFont="1" applyBorder="1" applyAlignment="1" applyProtection="1">
      <alignment vertical="top"/>
      <protection hidden="1"/>
    </xf>
    <xf numFmtId="4" fontId="9" fillId="0" borderId="4" xfId="0" applyNumberFormat="1" applyFont="1" applyBorder="1" applyAlignment="1" applyProtection="1">
      <alignment vertical="top"/>
      <protection hidden="1"/>
    </xf>
    <xf numFmtId="167" fontId="3" fillId="0" borderId="1" xfId="0" applyNumberFormat="1" applyFont="1" applyFill="1" applyBorder="1" applyAlignment="1" applyProtection="1">
      <alignment vertical="top"/>
      <protection locked="0"/>
    </xf>
    <xf numFmtId="4" fontId="9" fillId="5" borderId="1" xfId="0" applyNumberFormat="1" applyFont="1" applyFill="1" applyBorder="1" applyAlignment="1" applyProtection="1">
      <alignment vertical="top"/>
      <protection hidden="1"/>
    </xf>
    <xf numFmtId="3" fontId="3" fillId="4" borderId="1" xfId="0" applyNumberFormat="1" applyFont="1" applyFill="1" applyBorder="1" applyAlignment="1" applyProtection="1">
      <alignment vertical="top"/>
      <protection locked="0"/>
    </xf>
    <xf numFmtId="4" fontId="5" fillId="5" borderId="1" xfId="0" applyNumberFormat="1" applyFont="1" applyFill="1" applyBorder="1" applyAlignment="1" applyProtection="1">
      <alignment vertical="top"/>
      <protection hidden="1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16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/>
      <protection locked="0" hidden="1"/>
    </xf>
    <xf numFmtId="0" fontId="5" fillId="0" borderId="10" xfId="0" applyFont="1" applyBorder="1" applyAlignment="1" applyProtection="1">
      <alignment vertical="top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7" xfId="0" applyFont="1" applyFill="1" applyBorder="1" applyAlignment="1" applyProtection="1">
      <alignment vertical="top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5" fontId="5" fillId="5" borderId="1" xfId="0" applyNumberFormat="1" applyFont="1" applyFill="1" applyBorder="1" applyAlignment="1" applyProtection="1">
      <alignment vertical="top"/>
      <protection hidden="1"/>
    </xf>
    <xf numFmtId="4" fontId="3" fillId="4" borderId="1" xfId="0" applyNumberFormat="1" applyFont="1" applyFill="1" applyBorder="1" applyAlignment="1" applyProtection="1">
      <alignment vertical="top"/>
      <protection locked="0"/>
    </xf>
    <xf numFmtId="4" fontId="5" fillId="4" borderId="1" xfId="0" applyNumberFormat="1" applyFont="1" applyFill="1" applyBorder="1" applyAlignment="1" applyProtection="1">
      <alignment vertical="top"/>
      <protection locked="0"/>
    </xf>
    <xf numFmtId="0" fontId="5" fillId="8" borderId="1" xfId="0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/>
    <xf numFmtId="0" fontId="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5" borderId="1" xfId="0" applyNumberFormat="1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16" fillId="0" borderId="1" xfId="0" applyFont="1" applyBorder="1" applyAlignment="1" applyProtection="1">
      <alignment horizontal="center"/>
      <protection hidden="1"/>
    </xf>
    <xf numFmtId="165" fontId="3" fillId="5" borderId="1" xfId="0" applyNumberFormat="1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/>
      <protection hidden="1"/>
    </xf>
    <xf numFmtId="0" fontId="7" fillId="10" borderId="1" xfId="0" applyFont="1" applyFill="1" applyBorder="1" applyProtection="1">
      <protection locked="0" hidden="1"/>
    </xf>
    <xf numFmtId="0" fontId="7" fillId="10" borderId="1" xfId="0" applyFont="1" applyFill="1" applyBorder="1" applyAlignment="1" applyProtection="1">
      <alignment horizontal="center"/>
      <protection locked="0"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right" vertical="top"/>
      <protection hidden="1"/>
    </xf>
    <xf numFmtId="4" fontId="9" fillId="0" borderId="1" xfId="0" applyNumberFormat="1" applyFont="1" applyFill="1" applyBorder="1" applyAlignment="1" applyProtection="1">
      <alignment vertical="top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4" fillId="4" borderId="7" xfId="0" applyFont="1" applyFill="1" applyBorder="1" applyAlignment="1" applyProtection="1">
      <alignment vertical="top"/>
      <protection hidden="1"/>
    </xf>
    <xf numFmtId="0" fontId="14" fillId="4" borderId="1" xfId="0" applyFont="1" applyFill="1" applyBorder="1" applyAlignment="1" applyProtection="1">
      <alignment horizontal="center" vertical="top"/>
      <protection hidden="1"/>
    </xf>
    <xf numFmtId="3" fontId="14" fillId="4" borderId="1" xfId="0" applyNumberFormat="1" applyFont="1" applyFill="1" applyBorder="1" applyAlignment="1" applyProtection="1">
      <alignment vertical="top"/>
      <protection locked="0"/>
    </xf>
    <xf numFmtId="3" fontId="14" fillId="11" borderId="1" xfId="0" applyNumberFormat="1" applyFont="1" applyFill="1" applyBorder="1" applyAlignment="1" applyProtection="1">
      <alignment vertical="top"/>
      <protection hidden="1"/>
    </xf>
    <xf numFmtId="3" fontId="7" fillId="11" borderId="1" xfId="0" applyNumberFormat="1" applyFont="1" applyFill="1" applyBorder="1" applyAlignment="1" applyProtection="1">
      <alignment vertical="top"/>
      <protection hidden="1"/>
    </xf>
    <xf numFmtId="0" fontId="14" fillId="4" borderId="3" xfId="0" applyFont="1" applyFill="1" applyBorder="1" applyProtection="1">
      <protection hidden="1"/>
    </xf>
    <xf numFmtId="0" fontId="14" fillId="4" borderId="1" xfId="0" applyFont="1" applyFill="1" applyBorder="1" applyProtection="1">
      <protection hidden="1"/>
    </xf>
    <xf numFmtId="0" fontId="14" fillId="4" borderId="1" xfId="0" applyFont="1" applyFill="1" applyBorder="1" applyAlignment="1" applyProtection="1">
      <alignment horizontal="center"/>
      <protection hidden="1"/>
    </xf>
    <xf numFmtId="2" fontId="14" fillId="11" borderId="1" xfId="0" applyNumberFormat="1" applyFont="1" applyFill="1" applyBorder="1" applyProtection="1">
      <protection hidden="1"/>
    </xf>
    <xf numFmtId="2" fontId="7" fillId="11" borderId="1" xfId="0" applyNumberFormat="1" applyFont="1" applyFill="1" applyBorder="1" applyProtection="1">
      <protection hidden="1"/>
    </xf>
    <xf numFmtId="0" fontId="14" fillId="4" borderId="7" xfId="0" applyFont="1" applyFill="1" applyBorder="1" applyAlignment="1">
      <alignment vertical="top"/>
    </xf>
    <xf numFmtId="0" fontId="14" fillId="4" borderId="1" xfId="0" applyFont="1" applyFill="1" applyBorder="1" applyAlignment="1">
      <alignment horizontal="center" vertical="top"/>
    </xf>
    <xf numFmtId="2" fontId="14" fillId="11" borderId="1" xfId="0" applyNumberFormat="1" applyFont="1" applyFill="1" applyBorder="1" applyAlignment="1" applyProtection="1">
      <alignment vertical="top"/>
      <protection hidden="1"/>
    </xf>
    <xf numFmtId="3" fontId="14" fillId="0" borderId="1" xfId="0" applyNumberFormat="1" applyFont="1" applyFill="1" applyBorder="1" applyAlignment="1" applyProtection="1">
      <alignment vertical="top"/>
      <protection hidden="1"/>
    </xf>
    <xf numFmtId="0" fontId="14" fillId="4" borderId="4" xfId="0" applyFont="1" applyFill="1" applyBorder="1" applyAlignment="1" applyProtection="1">
      <alignment horizontal="right" vertical="top"/>
      <protection hidden="1"/>
    </xf>
    <xf numFmtId="0" fontId="14" fillId="4" borderId="5" xfId="0" applyFont="1" applyFill="1" applyBorder="1" applyAlignment="1" applyProtection="1">
      <alignment horizontal="right" vertical="top"/>
      <protection hidden="1"/>
    </xf>
    <xf numFmtId="3" fontId="14" fillId="0" borderId="1" xfId="0" applyNumberFormat="1" applyFont="1" applyFill="1" applyBorder="1" applyAlignment="1" applyProtection="1">
      <alignment vertical="top"/>
      <protection locked="0"/>
    </xf>
    <xf numFmtId="2" fontId="0" fillId="0" borderId="0" xfId="0" applyNumberFormat="1"/>
    <xf numFmtId="3" fontId="14" fillId="4" borderId="1" xfId="0" applyNumberFormat="1" applyFont="1" applyFill="1" applyBorder="1" applyAlignment="1" applyProtection="1">
      <alignment vertical="top"/>
      <protection hidden="1"/>
    </xf>
    <xf numFmtId="0" fontId="14" fillId="0" borderId="7" xfId="0" applyFont="1" applyBorder="1" applyAlignment="1" applyProtection="1">
      <alignment vertical="top"/>
      <protection hidden="1"/>
    </xf>
    <xf numFmtId="0" fontId="14" fillId="0" borderId="1" xfId="0" applyFont="1" applyBorder="1" applyAlignment="1" applyProtection="1">
      <alignment horizontal="center" vertical="top"/>
      <protection hidden="1"/>
    </xf>
    <xf numFmtId="0" fontId="14" fillId="0" borderId="6" xfId="0" applyFont="1" applyBorder="1" applyAlignment="1" applyProtection="1">
      <alignment vertical="top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14" fillId="0" borderId="3" xfId="0" applyFont="1" applyBorder="1" applyAlignment="1" applyProtection="1">
      <alignment horizontal="left" vertical="top" wrapText="1"/>
      <protection hidden="1"/>
    </xf>
    <xf numFmtId="0" fontId="14" fillId="0" borderId="4" xfId="0" applyFont="1" applyBorder="1" applyAlignment="1" applyProtection="1">
      <alignment vertical="top"/>
      <protection hidden="1"/>
    </xf>
    <xf numFmtId="0" fontId="14" fillId="0" borderId="5" xfId="0" applyFont="1" applyBorder="1" applyAlignment="1" applyProtection="1">
      <alignment vertical="top"/>
      <protection hidden="1"/>
    </xf>
    <xf numFmtId="4" fontId="7" fillId="11" borderId="1" xfId="0" applyNumberFormat="1" applyFont="1" applyFill="1" applyBorder="1" applyAlignment="1" applyProtection="1">
      <alignment vertical="top"/>
      <protection hidden="1"/>
    </xf>
    <xf numFmtId="4" fontId="14" fillId="0" borderId="1" xfId="0" applyNumberFormat="1" applyFont="1" applyFill="1" applyBorder="1" applyAlignment="1" applyProtection="1">
      <alignment vertical="top"/>
      <protection locked="0"/>
    </xf>
    <xf numFmtId="4" fontId="14" fillId="11" borderId="1" xfId="0" applyNumberFormat="1" applyFont="1" applyFill="1" applyBorder="1" applyAlignment="1" applyProtection="1">
      <alignment vertical="top"/>
      <protection hidden="1"/>
    </xf>
    <xf numFmtId="0" fontId="24" fillId="8" borderId="0" xfId="0" applyFont="1" applyFill="1" applyBorder="1"/>
    <xf numFmtId="0" fontId="14" fillId="0" borderId="0" xfId="0" applyFont="1" applyBorder="1"/>
    <xf numFmtId="0" fontId="14" fillId="0" borderId="7" xfId="0" applyFont="1" applyBorder="1"/>
    <xf numFmtId="0" fontId="14" fillId="0" borderId="2" xfId="0" applyFont="1" applyBorder="1"/>
    <xf numFmtId="0" fontId="14" fillId="0" borderId="3" xfId="0" applyFont="1" applyBorder="1"/>
    <xf numFmtId="0" fontId="24" fillId="8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0" xfId="0" applyFont="1"/>
    <xf numFmtId="0" fontId="14" fillId="0" borderId="0" xfId="0" applyFont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7" xfId="0" applyFont="1" applyFill="1" applyBorder="1"/>
    <xf numFmtId="0" fontId="14" fillId="8" borderId="2" xfId="0" applyFont="1" applyFill="1" applyBorder="1"/>
    <xf numFmtId="0" fontId="14" fillId="8" borderId="3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4" fillId="0" borderId="7" xfId="0" applyFont="1" applyFill="1" applyBorder="1" applyAlignment="1" applyProtection="1">
      <alignment vertical="top"/>
      <protection hidden="1"/>
    </xf>
    <xf numFmtId="0" fontId="14" fillId="0" borderId="1" xfId="0" applyFont="1" applyFill="1" applyBorder="1" applyAlignment="1" applyProtection="1">
      <alignment horizontal="center" vertical="top"/>
      <protection hidden="1"/>
    </xf>
    <xf numFmtId="167" fontId="14" fillId="11" borderId="1" xfId="0" applyNumberFormat="1" applyFont="1" applyFill="1" applyBorder="1" applyAlignment="1" applyProtection="1">
      <alignment vertical="top"/>
      <protection hidden="1"/>
    </xf>
    <xf numFmtId="167" fontId="7" fillId="11" borderId="1" xfId="0" applyNumberFormat="1" applyFont="1" applyFill="1" applyBorder="1" applyAlignment="1" applyProtection="1">
      <alignment vertical="top"/>
      <protection hidden="1"/>
    </xf>
    <xf numFmtId="0" fontId="14" fillId="0" borderId="6" xfId="0" applyFont="1" applyFill="1" applyBorder="1" applyAlignment="1" applyProtection="1">
      <alignment vertical="top"/>
      <protection hidden="1"/>
    </xf>
    <xf numFmtId="0" fontId="20" fillId="0" borderId="4" xfId="0" applyFont="1" applyFill="1" applyBorder="1" applyAlignment="1" applyProtection="1">
      <alignment vertical="top"/>
      <protection hidden="1"/>
    </xf>
    <xf numFmtId="0" fontId="14" fillId="0" borderId="2" xfId="0" applyFont="1" applyFill="1" applyBorder="1" applyAlignment="1" applyProtection="1">
      <alignment horizontal="lef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20" fillId="0" borderId="5" xfId="0" applyFont="1" applyFill="1" applyBorder="1" applyAlignment="1" applyProtection="1">
      <alignment vertical="top"/>
      <protection hidden="1"/>
    </xf>
    <xf numFmtId="0" fontId="14" fillId="0" borderId="7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3" fillId="5" borderId="0" xfId="0" applyFont="1" applyFill="1" applyBorder="1" applyAlignment="1" applyProtection="1">
      <alignment horizontal="center" vertical="top"/>
      <protection hidden="1"/>
    </xf>
    <xf numFmtId="166" fontId="5" fillId="5" borderId="0" xfId="0" applyNumberFormat="1" applyFont="1" applyFill="1" applyBorder="1" applyAlignment="1" applyProtection="1">
      <alignment horizontal="center" vertical="top" wrapText="1"/>
      <protection hidden="1"/>
    </xf>
    <xf numFmtId="2" fontId="3" fillId="5" borderId="0" xfId="0" applyNumberFormat="1" applyFont="1" applyFill="1" applyBorder="1" applyAlignment="1" applyProtection="1">
      <alignment horizontal="center" vertical="top" wrapText="1"/>
      <protection hidden="1"/>
    </xf>
    <xf numFmtId="0" fontId="26" fillId="4" borderId="0" xfId="0" applyFont="1" applyFill="1"/>
    <xf numFmtId="0" fontId="26" fillId="0" borderId="0" xfId="0" applyFont="1"/>
    <xf numFmtId="0" fontId="14" fillId="11" borderId="1" xfId="0" applyFont="1" applyFill="1" applyBorder="1" applyProtection="1">
      <protection hidden="1"/>
    </xf>
    <xf numFmtId="4" fontId="7" fillId="11" borderId="1" xfId="0" applyNumberFormat="1" applyFont="1" applyFill="1" applyBorder="1" applyProtection="1">
      <protection hidden="1"/>
    </xf>
    <xf numFmtId="4" fontId="7" fillId="0" borderId="4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Protection="1">
      <protection locked="0" hidden="1"/>
    </xf>
    <xf numFmtId="3" fontId="5" fillId="11" borderId="1" xfId="0" applyNumberFormat="1" applyFont="1" applyFill="1" applyBorder="1" applyAlignment="1" applyProtection="1">
      <alignment vertical="top"/>
      <protection hidden="1"/>
    </xf>
    <xf numFmtId="4" fontId="5" fillId="11" borderId="1" xfId="0" applyNumberFormat="1" applyFont="1" applyFill="1" applyBorder="1" applyAlignment="1" applyProtection="1">
      <alignment vertical="top"/>
      <protection hidden="1"/>
    </xf>
    <xf numFmtId="167" fontId="3" fillId="11" borderId="1" xfId="0" applyNumberFormat="1" applyFont="1" applyFill="1" applyBorder="1" applyAlignment="1" applyProtection="1">
      <alignment vertical="top"/>
      <protection hidden="1"/>
    </xf>
    <xf numFmtId="0" fontId="3" fillId="11" borderId="1" xfId="0" applyFont="1" applyFill="1" applyBorder="1" applyProtection="1">
      <protection hidden="1"/>
    </xf>
    <xf numFmtId="3" fontId="3" fillId="11" borderId="1" xfId="0" applyNumberFormat="1" applyFont="1" applyFill="1" applyBorder="1" applyAlignment="1" applyProtection="1">
      <alignment vertical="top"/>
      <protection hidden="1"/>
    </xf>
    <xf numFmtId="4" fontId="3" fillId="11" borderId="1" xfId="0" applyNumberFormat="1" applyFont="1" applyFill="1" applyBorder="1" applyAlignment="1" applyProtection="1">
      <alignment vertical="top"/>
      <protection hidden="1"/>
    </xf>
    <xf numFmtId="0" fontId="3" fillId="11" borderId="1" xfId="0" applyFont="1" applyFill="1" applyBorder="1" applyAlignment="1" applyProtection="1">
      <alignment horizontal="center" vertical="top"/>
      <protection hidden="1"/>
    </xf>
    <xf numFmtId="0" fontId="3" fillId="11" borderId="11" xfId="0" applyFont="1" applyFill="1" applyBorder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horizontal="center"/>
      <protection hidden="1"/>
    </xf>
    <xf numFmtId="167" fontId="5" fillId="11" borderId="1" xfId="0" applyNumberFormat="1" applyFont="1" applyFill="1" applyBorder="1" applyAlignment="1" applyProtection="1">
      <alignment vertical="top"/>
      <protection hidden="1"/>
    </xf>
    <xf numFmtId="2" fontId="3" fillId="11" borderId="1" xfId="0" applyNumberFormat="1" applyFont="1" applyFill="1" applyBorder="1" applyAlignment="1" applyProtection="1">
      <alignment horizontal="center"/>
      <protection hidden="1"/>
    </xf>
    <xf numFmtId="165" fontId="5" fillId="11" borderId="1" xfId="0" applyNumberFormat="1" applyFont="1" applyFill="1" applyBorder="1" applyAlignment="1" applyProtection="1">
      <alignment vertical="top"/>
      <protection hidden="1"/>
    </xf>
    <xf numFmtId="0" fontId="3" fillId="11" borderId="1" xfId="0" applyFont="1" applyFill="1" applyBorder="1" applyAlignment="1" applyProtection="1">
      <alignment vertical="top"/>
      <protection hidden="1"/>
    </xf>
    <xf numFmtId="165" fontId="3" fillId="11" borderId="1" xfId="0" applyNumberFormat="1" applyFont="1" applyFill="1" applyBorder="1" applyAlignment="1" applyProtection="1">
      <alignment vertical="top"/>
      <protection hidden="1"/>
    </xf>
    <xf numFmtId="4" fontId="9" fillId="11" borderId="1" xfId="0" applyNumberFormat="1" applyFont="1" applyFill="1" applyBorder="1" applyAlignment="1" applyProtection="1">
      <alignment vertical="top"/>
      <protection hidden="1"/>
    </xf>
    <xf numFmtId="4" fontId="3" fillId="11" borderId="1" xfId="0" applyNumberFormat="1" applyFont="1" applyFill="1" applyBorder="1" applyAlignment="1" applyProtection="1">
      <alignment vertical="top"/>
      <protection locked="0"/>
    </xf>
    <xf numFmtId="2" fontId="5" fillId="11" borderId="1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 horizontal="center"/>
    </xf>
    <xf numFmtId="4" fontId="7" fillId="11" borderId="0" xfId="0" applyNumberFormat="1" applyFont="1" applyFill="1" applyBorder="1" applyAlignment="1" applyProtection="1">
      <alignment vertical="top"/>
      <protection hidden="1"/>
    </xf>
    <xf numFmtId="4" fontId="7" fillId="11" borderId="0" xfId="0" applyNumberFormat="1" applyFont="1" applyFill="1" applyBorder="1" applyProtection="1"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3" fontId="14" fillId="0" borderId="1" xfId="0" applyNumberFormat="1" applyFont="1" applyFill="1" applyBorder="1" applyAlignment="1" applyProtection="1">
      <alignment vertical="top"/>
      <protection locked="0" hidden="1"/>
    </xf>
    <xf numFmtId="0" fontId="27" fillId="0" borderId="0" xfId="0" applyFont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0" xfId="2"/>
    <xf numFmtId="0" fontId="30" fillId="0" borderId="0" xfId="2" applyFont="1"/>
    <xf numFmtId="0" fontId="31" fillId="0" borderId="0" xfId="2" applyFont="1"/>
    <xf numFmtId="0" fontId="31" fillId="0" borderId="1" xfId="2" applyFont="1" applyBorder="1" applyAlignment="1">
      <alignment horizontal="center"/>
    </xf>
    <xf numFmtId="0" fontId="30" fillId="0" borderId="0" xfId="2" applyFont="1" applyAlignment="1">
      <alignment horizontal="center"/>
    </xf>
    <xf numFmtId="0" fontId="31" fillId="0" borderId="1" xfId="2" applyFont="1" applyBorder="1"/>
    <xf numFmtId="0" fontId="32" fillId="0" borderId="1" xfId="2" applyFont="1" applyBorder="1" applyAlignment="1">
      <alignment horizontal="center"/>
    </xf>
    <xf numFmtId="15" fontId="31" fillId="0" borderId="0" xfId="2" applyNumberFormat="1" applyFont="1"/>
    <xf numFmtId="0" fontId="30" fillId="15" borderId="0" xfId="2" applyFont="1" applyFill="1"/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vertical="center"/>
    </xf>
    <xf numFmtId="0" fontId="14" fillId="0" borderId="0" xfId="3" applyFont="1"/>
    <xf numFmtId="0" fontId="20" fillId="0" borderId="0" xfId="3" applyFont="1"/>
    <xf numFmtId="0" fontId="34" fillId="16" borderId="17" xfId="3" applyFont="1" applyFill="1" applyBorder="1" applyAlignment="1">
      <alignment horizontal="center" vertical="center"/>
    </xf>
    <xf numFmtId="0" fontId="7" fillId="16" borderId="17" xfId="3" applyFont="1" applyFill="1" applyBorder="1" applyAlignment="1">
      <alignment horizontal="center" vertical="top"/>
    </xf>
    <xf numFmtId="0" fontId="7" fillId="16" borderId="17" xfId="3" applyFont="1" applyFill="1" applyBorder="1" applyAlignment="1">
      <alignment horizontal="center" vertical="top" wrapText="1"/>
    </xf>
    <xf numFmtId="0" fontId="7" fillId="17" borderId="18" xfId="3" applyFont="1" applyFill="1" applyBorder="1" applyAlignment="1"/>
    <xf numFmtId="0" fontId="34" fillId="17" borderId="19" xfId="3" applyFont="1" applyFill="1" applyBorder="1" applyAlignment="1">
      <alignment horizontal="center"/>
    </xf>
    <xf numFmtId="0" fontId="35" fillId="17" borderId="19" xfId="3" applyFont="1" applyFill="1" applyBorder="1" applyAlignment="1"/>
    <xf numFmtId="0" fontId="36" fillId="17" borderId="19" xfId="3" applyFont="1" applyFill="1" applyBorder="1" applyAlignment="1"/>
    <xf numFmtId="0" fontId="37" fillId="17" borderId="19" xfId="3" applyFont="1" applyFill="1" applyBorder="1" applyAlignment="1"/>
    <xf numFmtId="2" fontId="38" fillId="18" borderId="17" xfId="3" applyNumberFormat="1" applyFont="1" applyFill="1" applyBorder="1" applyAlignment="1">
      <alignment horizontal="center"/>
    </xf>
    <xf numFmtId="0" fontId="14" fillId="17" borderId="20" xfId="3" applyFont="1" applyFill="1" applyBorder="1" applyAlignment="1">
      <alignment vertical="top" wrapText="1"/>
    </xf>
    <xf numFmtId="0" fontId="14" fillId="0" borderId="21" xfId="3" applyFont="1" applyBorder="1" applyAlignment="1">
      <alignment vertical="top"/>
    </xf>
    <xf numFmtId="0" fontId="35" fillId="0" borderId="22" xfId="3" applyFont="1" applyBorder="1" applyAlignment="1">
      <alignment horizontal="center" vertical="top"/>
    </xf>
    <xf numFmtId="0" fontId="35" fillId="19" borderId="22" xfId="3" applyFont="1" applyFill="1" applyBorder="1" applyAlignment="1">
      <alignment horizontal="center" vertical="top"/>
    </xf>
    <xf numFmtId="0" fontId="35" fillId="7" borderId="22" xfId="3" applyFont="1" applyFill="1" applyBorder="1" applyAlignment="1">
      <alignment horizontal="center" vertical="top"/>
    </xf>
    <xf numFmtId="0" fontId="14" fillId="0" borderId="22" xfId="3" applyFont="1" applyBorder="1" applyAlignment="1">
      <alignment horizontal="center" vertical="top"/>
    </xf>
    <xf numFmtId="0" fontId="6" fillId="0" borderId="22" xfId="3" applyFont="1" applyBorder="1" applyAlignment="1">
      <alignment horizontal="center" vertical="top"/>
    </xf>
    <xf numFmtId="0" fontId="14" fillId="0" borderId="22" xfId="3" applyFont="1" applyBorder="1" applyAlignment="1">
      <alignment vertical="top" wrapText="1"/>
    </xf>
    <xf numFmtId="0" fontId="14" fillId="0" borderId="21" xfId="3" applyFont="1" applyBorder="1" applyAlignment="1">
      <alignment wrapText="1"/>
    </xf>
    <xf numFmtId="0" fontId="35" fillId="19" borderId="22" xfId="3" applyFont="1" applyFill="1" applyBorder="1" applyAlignment="1">
      <alignment horizontal="center"/>
    </xf>
    <xf numFmtId="0" fontId="14" fillId="0" borderId="22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35" fillId="22" borderId="22" xfId="3" applyFont="1" applyFill="1" applyBorder="1" applyAlignment="1">
      <alignment horizontal="center" wrapText="1"/>
    </xf>
    <xf numFmtId="0" fontId="35" fillId="4" borderId="16" xfId="3" applyFont="1" applyFill="1" applyBorder="1" applyAlignment="1"/>
    <xf numFmtId="0" fontId="35" fillId="4" borderId="23" xfId="3" applyFont="1" applyFill="1" applyBorder="1" applyAlignment="1"/>
    <xf numFmtId="4" fontId="35" fillId="13" borderId="17" xfId="3" applyNumberFormat="1" applyFont="1" applyFill="1" applyBorder="1" applyAlignment="1">
      <alignment horizontal="center"/>
    </xf>
    <xf numFmtId="0" fontId="14" fillId="13" borderId="22" xfId="3" applyFont="1" applyFill="1" applyBorder="1" applyAlignment="1">
      <alignment horizontal="center"/>
    </xf>
    <xf numFmtId="2" fontId="14" fillId="22" borderId="22" xfId="3" applyNumberFormat="1" applyFont="1" applyFill="1" applyBorder="1" applyAlignment="1">
      <alignment horizontal="center"/>
    </xf>
    <xf numFmtId="2" fontId="14" fillId="0" borderId="22" xfId="3" applyNumberFormat="1" applyFont="1" applyBorder="1" applyAlignment="1">
      <alignment horizontal="center"/>
    </xf>
    <xf numFmtId="0" fontId="7" fillId="17" borderId="16" xfId="3" applyFont="1" applyFill="1" applyBorder="1" applyAlignment="1"/>
    <xf numFmtId="0" fontId="34" fillId="17" borderId="23" xfId="3" applyFont="1" applyFill="1" applyBorder="1" applyAlignment="1">
      <alignment horizontal="center"/>
    </xf>
    <xf numFmtId="0" fontId="35" fillId="17" borderId="23" xfId="3" applyFont="1" applyFill="1" applyBorder="1" applyAlignment="1"/>
    <xf numFmtId="0" fontId="14" fillId="17" borderId="23" xfId="3" applyFont="1" applyFill="1" applyBorder="1" applyAlignment="1">
      <alignment horizontal="center"/>
    </xf>
    <xf numFmtId="0" fontId="14" fillId="17" borderId="23" xfId="3" applyFont="1" applyFill="1" applyBorder="1" applyAlignment="1"/>
    <xf numFmtId="0" fontId="20" fillId="17" borderId="23" xfId="3" applyFont="1" applyFill="1" applyBorder="1" applyAlignment="1"/>
    <xf numFmtId="0" fontId="14" fillId="17" borderId="24" xfId="3" applyFont="1" applyFill="1" applyBorder="1" applyAlignment="1">
      <alignment vertical="top" wrapText="1"/>
    </xf>
    <xf numFmtId="0" fontId="14" fillId="0" borderId="21" xfId="3" applyFont="1" applyBorder="1"/>
    <xf numFmtId="0" fontId="35" fillId="0" borderId="22" xfId="3" applyFont="1" applyBorder="1" applyAlignment="1">
      <alignment horizontal="center"/>
    </xf>
    <xf numFmtId="0" fontId="35" fillId="21" borderId="22" xfId="3" applyFont="1" applyFill="1" applyBorder="1" applyAlignment="1">
      <alignment horizontal="center" vertical="top"/>
    </xf>
    <xf numFmtId="0" fontId="35" fillId="0" borderId="25" xfId="3" applyFont="1" applyBorder="1" applyAlignment="1">
      <alignment horizontal="center"/>
    </xf>
    <xf numFmtId="0" fontId="35" fillId="19" borderId="25" xfId="3" applyFont="1" applyFill="1" applyBorder="1" applyAlignment="1">
      <alignment horizontal="center"/>
    </xf>
    <xf numFmtId="2" fontId="14" fillId="4" borderId="22" xfId="3" applyNumberFormat="1" applyFont="1" applyFill="1" applyBorder="1" applyAlignment="1">
      <alignment horizontal="center"/>
    </xf>
    <xf numFmtId="0" fontId="6" fillId="4" borderId="22" xfId="3" applyFont="1" applyFill="1" applyBorder="1" applyAlignment="1">
      <alignment horizontal="center"/>
    </xf>
    <xf numFmtId="0" fontId="35" fillId="0" borderId="21" xfId="3" applyFont="1" applyBorder="1" applyAlignment="1">
      <alignment horizontal="center"/>
    </xf>
    <xf numFmtId="2" fontId="35" fillId="19" borderId="21" xfId="3" applyNumberFormat="1" applyFont="1" applyFill="1" applyBorder="1" applyAlignment="1">
      <alignment horizontal="center"/>
    </xf>
    <xf numFmtId="2" fontId="14" fillId="13" borderId="22" xfId="3" applyNumberFormat="1" applyFont="1" applyFill="1" applyBorder="1" applyAlignment="1">
      <alignment horizontal="center"/>
    </xf>
    <xf numFmtId="2" fontId="14" fillId="23" borderId="22" xfId="3" applyNumberFormat="1" applyFont="1" applyFill="1" applyBorder="1" applyAlignment="1">
      <alignment horizontal="center"/>
    </xf>
    <xf numFmtId="2" fontId="14" fillId="0" borderId="25" xfId="3" applyNumberFormat="1" applyFont="1" applyBorder="1" applyAlignment="1">
      <alignment horizontal="center"/>
    </xf>
    <xf numFmtId="0" fontId="35" fillId="19" borderId="21" xfId="3" applyFont="1" applyFill="1" applyBorder="1" applyAlignment="1">
      <alignment horizontal="center"/>
    </xf>
    <xf numFmtId="0" fontId="35" fillId="19" borderId="22" xfId="3" applyFont="1" applyFill="1" applyBorder="1" applyAlignment="1">
      <alignment horizontal="center" vertical="top" wrapText="1"/>
    </xf>
    <xf numFmtId="0" fontId="35" fillId="7" borderId="22" xfId="3" applyFont="1" applyFill="1" applyBorder="1" applyAlignment="1">
      <alignment horizontal="center" vertical="top" wrapText="1"/>
    </xf>
    <xf numFmtId="0" fontId="35" fillId="20" borderId="22" xfId="3" applyFont="1" applyFill="1" applyBorder="1" applyAlignment="1">
      <alignment horizontal="center" vertical="top" wrapText="1"/>
    </xf>
    <xf numFmtId="0" fontId="14" fillId="0" borderId="21" xfId="3" applyFont="1" applyBorder="1" applyAlignment="1">
      <alignment vertical="top" wrapText="1"/>
    </xf>
    <xf numFmtId="0" fontId="35" fillId="0" borderId="22" xfId="3" applyFont="1" applyBorder="1" applyAlignment="1">
      <alignment horizontal="center" vertical="top" wrapText="1"/>
    </xf>
    <xf numFmtId="0" fontId="35" fillId="20" borderId="22" xfId="3" applyFont="1" applyFill="1" applyBorder="1" applyAlignment="1">
      <alignment horizontal="center" wrapText="1"/>
    </xf>
    <xf numFmtId="3" fontId="14" fillId="24" borderId="22" xfId="3" applyNumberFormat="1" applyFont="1" applyFill="1" applyBorder="1" applyAlignment="1">
      <alignment horizontal="center" vertical="top"/>
    </xf>
    <xf numFmtId="2" fontId="14" fillId="22" borderId="22" xfId="3" applyNumberFormat="1" applyFont="1" applyFill="1" applyBorder="1" applyAlignment="1">
      <alignment horizontal="center" vertical="top"/>
    </xf>
    <xf numFmtId="2" fontId="14" fillId="0" borderId="25" xfId="3" applyNumberFormat="1" applyFont="1" applyBorder="1" applyAlignment="1">
      <alignment horizontal="center" vertical="top"/>
    </xf>
    <xf numFmtId="4" fontId="14" fillId="24" borderId="22" xfId="3" applyNumberFormat="1" applyFont="1" applyFill="1" applyBorder="1" applyAlignment="1">
      <alignment horizontal="center" vertical="top"/>
    </xf>
    <xf numFmtId="0" fontId="35" fillId="19" borderId="22" xfId="3" applyFont="1" applyFill="1" applyBorder="1" applyAlignment="1">
      <alignment horizontal="center" wrapText="1"/>
    </xf>
    <xf numFmtId="0" fontId="14" fillId="24" borderId="22" xfId="3" applyFont="1" applyFill="1" applyBorder="1" applyAlignment="1">
      <alignment horizontal="center"/>
    </xf>
    <xf numFmtId="0" fontId="36" fillId="0" borderId="21" xfId="3" applyFont="1" applyBorder="1" applyAlignment="1">
      <alignment vertical="top" wrapText="1"/>
    </xf>
    <xf numFmtId="0" fontId="14" fillId="17" borderId="29" xfId="3" applyFont="1" applyFill="1" applyBorder="1" applyAlignment="1">
      <alignment vertical="top" wrapText="1"/>
    </xf>
    <xf numFmtId="0" fontId="35" fillId="7" borderId="22" xfId="3" applyFont="1" applyFill="1" applyBorder="1" applyAlignment="1">
      <alignment horizontal="center" wrapText="1"/>
    </xf>
    <xf numFmtId="0" fontId="7" fillId="17" borderId="17" xfId="3" applyFont="1" applyFill="1" applyBorder="1" applyAlignment="1"/>
    <xf numFmtId="0" fontId="14" fillId="0" borderId="17" xfId="3" applyFont="1" applyBorder="1" applyAlignment="1">
      <alignment vertical="center" wrapText="1"/>
    </xf>
    <xf numFmtId="0" fontId="35" fillId="0" borderId="17" xfId="3" applyFont="1" applyBorder="1" applyAlignment="1">
      <alignment horizontal="center" vertical="top" wrapText="1"/>
    </xf>
    <xf numFmtId="2" fontId="35" fillId="19" borderId="17" xfId="4" applyNumberFormat="1" applyFont="1" applyFill="1" applyBorder="1" applyAlignment="1">
      <alignment horizontal="center" vertical="top" wrapText="1"/>
    </xf>
    <xf numFmtId="2" fontId="14" fillId="24" borderId="29" xfId="4" applyNumberFormat="1" applyFont="1" applyFill="1" applyBorder="1" applyAlignment="1">
      <alignment horizontal="center" vertical="top"/>
    </xf>
    <xf numFmtId="169" fontId="14" fillId="22" borderId="29" xfId="4" applyNumberFormat="1" applyFont="1" applyFill="1" applyBorder="1" applyAlignment="1">
      <alignment horizontal="center" vertical="top"/>
    </xf>
    <xf numFmtId="2" fontId="14" fillId="0" borderId="22" xfId="3" applyNumberFormat="1" applyFont="1" applyBorder="1" applyAlignment="1">
      <alignment horizontal="center" vertical="top"/>
    </xf>
    <xf numFmtId="43" fontId="20" fillId="0" borderId="0" xfId="3" applyNumberFormat="1" applyFont="1"/>
    <xf numFmtId="2" fontId="14" fillId="22" borderId="29" xfId="3" applyNumberFormat="1" applyFont="1" applyFill="1" applyBorder="1" applyAlignment="1">
      <alignment horizontal="center"/>
    </xf>
    <xf numFmtId="0" fontId="14" fillId="0" borderId="17" xfId="3" applyFont="1" applyBorder="1" applyAlignment="1">
      <alignment vertical="top" wrapText="1"/>
    </xf>
    <xf numFmtId="0" fontId="36" fillId="25" borderId="17" xfId="3" applyFont="1" applyFill="1" applyBorder="1"/>
    <xf numFmtId="0" fontId="36" fillId="25" borderId="17" xfId="3" applyFont="1" applyFill="1" applyBorder="1" applyAlignment="1">
      <alignment horizontal="center"/>
    </xf>
    <xf numFmtId="0" fontId="36" fillId="25" borderId="17" xfId="3" applyFont="1" applyFill="1" applyBorder="1" applyAlignment="1">
      <alignment horizontal="center" wrapText="1"/>
    </xf>
    <xf numFmtId="0" fontId="39" fillId="25" borderId="17" xfId="3" applyFont="1" applyFill="1" applyBorder="1" applyAlignment="1">
      <alignment horizontal="center"/>
    </xf>
    <xf numFmtId="2" fontId="14" fillId="26" borderId="22" xfId="3" applyNumberFormat="1" applyFont="1" applyFill="1" applyBorder="1" applyAlignment="1">
      <alignment horizontal="center" vertical="top"/>
    </xf>
    <xf numFmtId="0" fontId="14" fillId="26" borderId="22" xfId="3" applyFont="1" applyFill="1" applyBorder="1" applyAlignment="1">
      <alignment horizontal="center" vertical="top"/>
    </xf>
    <xf numFmtId="0" fontId="14" fillId="24" borderId="30" xfId="3" applyFont="1" applyFill="1" applyBorder="1" applyAlignment="1">
      <alignment horizontal="center"/>
    </xf>
    <xf numFmtId="0" fontId="14" fillId="0" borderId="30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0" fontId="14" fillId="0" borderId="30" xfId="3" applyFont="1" applyBorder="1" applyAlignment="1">
      <alignment vertical="top" wrapText="1"/>
    </xf>
    <xf numFmtId="0" fontId="35" fillId="0" borderId="0" xfId="3" applyFont="1" applyAlignment="1">
      <alignment horizontal="center"/>
    </xf>
    <xf numFmtId="0" fontId="35" fillId="0" borderId="0" xfId="3" applyFont="1"/>
    <xf numFmtId="2" fontId="7" fillId="9" borderId="1" xfId="3" applyNumberFormat="1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top" wrapText="1"/>
    </xf>
    <xf numFmtId="0" fontId="33" fillId="0" borderId="0" xfId="3" applyFont="1"/>
    <xf numFmtId="0" fontId="41" fillId="0" borderId="0" xfId="3" applyFont="1"/>
    <xf numFmtId="0" fontId="32" fillId="27" borderId="1" xfId="2" applyFont="1" applyFill="1" applyBorder="1" applyAlignment="1">
      <alignment horizontal="center"/>
    </xf>
    <xf numFmtId="0" fontId="32" fillId="15" borderId="1" xfId="2" applyFont="1" applyFill="1" applyBorder="1" applyAlignment="1">
      <alignment horizontal="center"/>
    </xf>
    <xf numFmtId="0" fontId="31" fillId="11" borderId="1" xfId="2" applyFont="1" applyFill="1" applyBorder="1" applyAlignment="1">
      <alignment horizontal="center"/>
    </xf>
    <xf numFmtId="0" fontId="7" fillId="10" borderId="1" xfId="0" applyFont="1" applyFill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>
      <alignment horizontal="left" vertical="top" wrapText="1"/>
    </xf>
    <xf numFmtId="0" fontId="7" fillId="10" borderId="1" xfId="0" applyFont="1" applyFill="1" applyBorder="1" applyAlignment="1" applyProtection="1">
      <alignment horizontal="center"/>
      <protection locked="0"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Protection="1"/>
    <xf numFmtId="0" fontId="16" fillId="0" borderId="0" xfId="0" applyFont="1" applyFill="1" applyBorder="1" applyProtection="1">
      <protection locked="0" hidden="1"/>
    </xf>
    <xf numFmtId="0" fontId="17" fillId="0" borderId="0" xfId="0" applyFont="1" applyProtection="1"/>
    <xf numFmtId="0" fontId="14" fillId="3" borderId="1" xfId="0" applyFont="1" applyFill="1" applyBorder="1" applyAlignment="1" applyProtection="1">
      <alignment vertical="top"/>
      <protection locked="0" hidden="1"/>
    </xf>
    <xf numFmtId="0" fontId="7" fillId="10" borderId="1" xfId="0" applyFont="1" applyFill="1" applyBorder="1" applyAlignment="1" applyProtection="1">
      <alignment horizontal="center" vertical="center"/>
      <protection locked="0" hidden="1"/>
    </xf>
    <xf numFmtId="0" fontId="14" fillId="4" borderId="5" xfId="0" applyFont="1" applyFill="1" applyBorder="1" applyAlignment="1" applyProtection="1">
      <alignment vertical="top"/>
      <protection hidden="1"/>
    </xf>
    <xf numFmtId="0" fontId="14" fillId="4" borderId="2" xfId="0" applyFont="1" applyFill="1" applyBorder="1" applyAlignment="1" applyProtection="1">
      <alignment vertical="top"/>
      <protection hidden="1"/>
    </xf>
    <xf numFmtId="0" fontId="14" fillId="4" borderId="7" xfId="0" applyFont="1" applyFill="1" applyBorder="1" applyAlignment="1" applyProtection="1">
      <alignment horizontal="right" vertical="top"/>
      <protection hidden="1"/>
    </xf>
    <xf numFmtId="0" fontId="43" fillId="0" borderId="1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vertical="top"/>
      <protection hidden="1"/>
    </xf>
    <xf numFmtId="0" fontId="4" fillId="0" borderId="2" xfId="0" applyFont="1" applyBorder="1"/>
    <xf numFmtId="0" fontId="4" fillId="0" borderId="7" xfId="0" applyFont="1" applyBorder="1" applyAlignment="1">
      <alignment vertical="top"/>
    </xf>
    <xf numFmtId="0" fontId="43" fillId="6" borderId="1" xfId="0" applyFont="1" applyFill="1" applyBorder="1" applyAlignment="1" applyProtection="1">
      <alignment horizontal="center" vertical="top"/>
      <protection hidden="1"/>
    </xf>
    <xf numFmtId="0" fontId="3" fillId="11" borderId="1" xfId="0" applyFont="1" applyFill="1" applyBorder="1" applyAlignment="1" applyProtection="1">
      <alignment horizontal="center" vertical="top" wrapText="1"/>
      <protection hidden="1"/>
    </xf>
    <xf numFmtId="0" fontId="20" fillId="0" borderId="7" xfId="0" applyFont="1" applyFill="1" applyBorder="1" applyAlignment="1" applyProtection="1">
      <alignment vertical="top"/>
      <protection hidden="1"/>
    </xf>
    <xf numFmtId="0" fontId="14" fillId="11" borderId="1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vertical="top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0" fillId="0" borderId="1" xfId="0" applyFont="1" applyBorder="1"/>
    <xf numFmtId="0" fontId="14" fillId="0" borderId="1" xfId="0" applyFont="1" applyBorder="1"/>
    <xf numFmtId="0" fontId="28" fillId="0" borderId="1" xfId="2" applyBorder="1" applyAlignment="1">
      <alignment horizontal="center"/>
    </xf>
    <xf numFmtId="0" fontId="31" fillId="13" borderId="1" xfId="2" applyFont="1" applyFill="1" applyBorder="1" applyAlignment="1">
      <alignment horizontal="center"/>
    </xf>
    <xf numFmtId="0" fontId="44" fillId="0" borderId="17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28" fillId="0" borderId="1" xfId="2" quotePrefix="1" applyBorder="1" applyAlignment="1">
      <alignment horizontal="center"/>
    </xf>
    <xf numFmtId="15" fontId="28" fillId="0" borderId="1" xfId="2" quotePrefix="1" applyNumberFormat="1" applyBorder="1" applyAlignment="1">
      <alignment horizontal="center"/>
    </xf>
    <xf numFmtId="0" fontId="45" fillId="0" borderId="0" xfId="0" applyFont="1" applyAlignment="1">
      <alignment vertical="center"/>
    </xf>
    <xf numFmtId="0" fontId="28" fillId="9" borderId="1" xfId="2" applyFill="1" applyBorder="1" applyAlignment="1">
      <alignment horizontal="center"/>
    </xf>
    <xf numFmtId="0" fontId="44" fillId="9" borderId="21" xfId="0" applyFont="1" applyFill="1" applyBorder="1" applyAlignment="1">
      <alignment vertical="center" wrapText="1"/>
    </xf>
    <xf numFmtId="0" fontId="28" fillId="9" borderId="1" xfId="2" quotePrefix="1" applyFill="1" applyBorder="1" applyAlignment="1">
      <alignment horizontal="center"/>
    </xf>
    <xf numFmtId="15" fontId="28" fillId="9" borderId="1" xfId="2" quotePrefix="1" applyNumberFormat="1" applyFill="1" applyBorder="1" applyAlignment="1">
      <alignment horizontal="center"/>
    </xf>
    <xf numFmtId="0" fontId="1" fillId="9" borderId="1" xfId="2" quotePrefix="1" applyFont="1" applyFill="1" applyBorder="1" applyAlignment="1">
      <alignment horizontal="center"/>
    </xf>
    <xf numFmtId="0" fontId="1" fillId="0" borderId="1" xfId="2" quotePrefix="1" applyFont="1" applyBorder="1" applyAlignment="1">
      <alignment horizontal="center"/>
    </xf>
    <xf numFmtId="4" fontId="14" fillId="24" borderId="22" xfId="3" applyNumberFormat="1" applyFont="1" applyFill="1" applyBorder="1" applyAlignment="1">
      <alignment horizontal="center"/>
    </xf>
    <xf numFmtId="0" fontId="14" fillId="24" borderId="29" xfId="3" applyFont="1" applyFill="1" applyBorder="1" applyAlignment="1">
      <alignment horizontal="center" vertical="top"/>
    </xf>
    <xf numFmtId="4" fontId="14" fillId="13" borderId="22" xfId="3" applyNumberFormat="1" applyFont="1" applyFill="1" applyBorder="1" applyAlignment="1">
      <alignment horizontal="center"/>
    </xf>
    <xf numFmtId="2" fontId="14" fillId="24" borderId="22" xfId="3" applyNumberFormat="1" applyFont="1" applyFill="1" applyBorder="1" applyAlignment="1">
      <alignment horizontal="center"/>
    </xf>
    <xf numFmtId="2" fontId="14" fillId="8" borderId="22" xfId="3" applyNumberFormat="1" applyFont="1" applyFill="1" applyBorder="1" applyAlignment="1">
      <alignment horizontal="center"/>
    </xf>
    <xf numFmtId="0" fontId="31" fillId="4" borderId="1" xfId="2" applyFont="1" applyFill="1" applyBorder="1" applyAlignment="1">
      <alignment horizontal="center"/>
    </xf>
    <xf numFmtId="0" fontId="30" fillId="4" borderId="0" xfId="2" applyFont="1" applyFill="1" applyAlignment="1">
      <alignment horizontal="center"/>
    </xf>
    <xf numFmtId="0" fontId="30" fillId="4" borderId="0" xfId="2" applyFont="1" applyFill="1"/>
    <xf numFmtId="0" fontId="31" fillId="4" borderId="0" xfId="2" applyFont="1" applyFill="1"/>
    <xf numFmtId="15" fontId="31" fillId="4" borderId="0" xfId="2" applyNumberFormat="1" applyFont="1" applyFill="1"/>
    <xf numFmtId="0" fontId="16" fillId="4" borderId="0" xfId="2" applyFont="1" applyFill="1"/>
    <xf numFmtId="0" fontId="32" fillId="4" borderId="1" xfId="2" applyFont="1" applyFill="1" applyBorder="1" applyAlignment="1">
      <alignment horizontal="center"/>
    </xf>
    <xf numFmtId="0" fontId="32" fillId="29" borderId="1" xfId="2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/>
      <protection hidden="1"/>
    </xf>
    <xf numFmtId="0" fontId="44" fillId="0" borderId="0" xfId="0" applyFont="1"/>
    <xf numFmtId="0" fontId="4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" xfId="0" applyFont="1" applyBorder="1"/>
    <xf numFmtId="0" fontId="50" fillId="0" borderId="0" xfId="3" applyFont="1"/>
    <xf numFmtId="2" fontId="50" fillId="0" borderId="0" xfId="3" applyNumberFormat="1" applyFont="1"/>
    <xf numFmtId="0" fontId="52" fillId="0" borderId="0" xfId="0" applyFont="1" applyFill="1" applyBorder="1" applyProtection="1">
      <protection hidden="1"/>
    </xf>
    <xf numFmtId="0" fontId="53" fillId="0" borderId="0" xfId="3" applyFont="1"/>
    <xf numFmtId="2" fontId="24" fillId="0" borderId="17" xfId="3" applyNumberFormat="1" applyFont="1" applyBorder="1" applyAlignment="1">
      <alignment vertical="top" wrapText="1"/>
    </xf>
    <xf numFmtId="43" fontId="54" fillId="0" borderId="0" xfId="3" applyNumberFormat="1" applyFont="1"/>
    <xf numFmtId="0" fontId="13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0" fillId="0" borderId="1" xfId="0" applyFont="1" applyBorder="1" applyAlignment="1">
      <alignment vertical="top"/>
    </xf>
    <xf numFmtId="0" fontId="16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6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4" fillId="0" borderId="21" xfId="3" applyFont="1" applyBorder="1" applyAlignment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34" fillId="16" borderId="17" xfId="3" applyFont="1" applyFill="1" applyBorder="1" applyAlignment="1">
      <alignment horizontal="center" vertical="center"/>
    </xf>
    <xf numFmtId="0" fontId="14" fillId="0" borderId="21" xfId="3" applyFont="1" applyBorder="1" applyAlignment="1">
      <alignment vertical="top" wrapText="1"/>
    </xf>
    <xf numFmtId="0" fontId="14" fillId="0" borderId="25" xfId="3" applyFont="1" applyBorder="1" applyAlignment="1">
      <alignment vertical="top" wrapText="1"/>
    </xf>
    <xf numFmtId="0" fontId="0" fillId="0" borderId="0" xfId="0" quotePrefix="1"/>
    <xf numFmtId="0" fontId="4" fillId="0" borderId="0" xfId="0" applyFont="1" applyBorder="1" applyAlignment="1">
      <alignment vertical="top"/>
    </xf>
    <xf numFmtId="4" fontId="5" fillId="0" borderId="0" xfId="0" applyNumberFormat="1" applyFont="1" applyFill="1" applyBorder="1" applyAlignment="1" applyProtection="1">
      <alignment vertical="top"/>
      <protection hidden="1"/>
    </xf>
    <xf numFmtId="168" fontId="3" fillId="0" borderId="2" xfId="0" applyNumberFormat="1" applyFont="1" applyBorder="1" applyAlignment="1" applyProtection="1">
      <alignment horizontal="left" vertical="top" wrapText="1"/>
      <protection hidden="1"/>
    </xf>
    <xf numFmtId="0" fontId="55" fillId="7" borderId="22" xfId="3" applyFont="1" applyFill="1" applyBorder="1" applyAlignment="1">
      <alignment horizontal="center" vertical="top"/>
    </xf>
    <xf numFmtId="0" fontId="35" fillId="20" borderId="22" xfId="3" applyFont="1" applyFill="1" applyBorder="1" applyAlignment="1">
      <alignment horizontal="center" vertical="top"/>
    </xf>
    <xf numFmtId="0" fontId="14" fillId="0" borderId="22" xfId="3" applyFont="1" applyBorder="1" applyAlignment="1">
      <alignment vertical="top"/>
    </xf>
    <xf numFmtId="0" fontId="14" fillId="31" borderId="1" xfId="3" applyFont="1" applyFill="1" applyBorder="1"/>
    <xf numFmtId="2" fontId="14" fillId="31" borderId="1" xfId="3" applyNumberFormat="1" applyFont="1" applyFill="1" applyBorder="1"/>
    <xf numFmtId="0" fontId="14" fillId="0" borderId="17" xfId="3" applyFont="1" applyBorder="1" applyAlignment="1">
      <alignment horizontal="center" vertical="top"/>
    </xf>
    <xf numFmtId="0" fontId="14" fillId="22" borderId="22" xfId="3" applyFont="1" applyFill="1" applyBorder="1" applyAlignment="1">
      <alignment vertical="top" wrapText="1"/>
    </xf>
    <xf numFmtId="0" fontId="14" fillId="0" borderId="22" xfId="3" applyFont="1" applyFill="1" applyBorder="1" applyAlignment="1">
      <alignment vertical="top" wrapText="1"/>
    </xf>
    <xf numFmtId="0" fontId="20" fillId="17" borderId="19" xfId="3" applyFont="1" applyFill="1" applyBorder="1" applyAlignment="1"/>
    <xf numFmtId="0" fontId="14" fillId="17" borderId="19" xfId="3" applyFont="1" applyFill="1" applyBorder="1" applyAlignment="1"/>
    <xf numFmtId="0" fontId="14" fillId="17" borderId="22" xfId="3" applyFont="1" applyFill="1" applyBorder="1" applyAlignment="1">
      <alignment vertical="top" wrapText="1"/>
    </xf>
    <xf numFmtId="0" fontId="14" fillId="0" borderId="17" xfId="3" applyFont="1" applyBorder="1" applyAlignment="1">
      <alignment wrapText="1"/>
    </xf>
    <xf numFmtId="0" fontId="35" fillId="0" borderId="17" xfId="3" applyFont="1" applyBorder="1" applyAlignment="1">
      <alignment horizontal="center" wrapText="1"/>
    </xf>
    <xf numFmtId="0" fontId="35" fillId="19" borderId="17" xfId="3" applyFont="1" applyFill="1" applyBorder="1" applyAlignment="1">
      <alignment horizontal="center" wrapText="1"/>
    </xf>
    <xf numFmtId="0" fontId="35" fillId="7" borderId="30" xfId="3" applyFont="1" applyFill="1" applyBorder="1" applyAlignment="1">
      <alignment horizontal="center" wrapText="1"/>
    </xf>
    <xf numFmtId="0" fontId="35" fillId="20" borderId="30" xfId="3" applyFont="1" applyFill="1" applyBorder="1" applyAlignment="1">
      <alignment horizontal="center" wrapText="1"/>
    </xf>
    <xf numFmtId="0" fontId="14" fillId="0" borderId="17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0" fontId="35" fillId="7" borderId="17" xfId="3" applyFont="1" applyFill="1" applyBorder="1" applyAlignment="1">
      <alignment horizontal="center" wrapText="1"/>
    </xf>
    <xf numFmtId="0" fontId="35" fillId="20" borderId="17" xfId="3" applyFont="1" applyFill="1" applyBorder="1" applyAlignment="1">
      <alignment wrapText="1"/>
    </xf>
    <xf numFmtId="0" fontId="35" fillId="20" borderId="22" xfId="3" applyFont="1" applyFill="1" applyBorder="1" applyAlignment="1">
      <alignment wrapText="1"/>
    </xf>
    <xf numFmtId="0" fontId="14" fillId="4" borderId="22" xfId="3" applyFont="1" applyFill="1" applyBorder="1" applyAlignment="1">
      <alignment horizontal="center"/>
    </xf>
    <xf numFmtId="0" fontId="14" fillId="0" borderId="22" xfId="3" applyFont="1" applyBorder="1"/>
    <xf numFmtId="0" fontId="14" fillId="0" borderId="22" xfId="3" applyFont="1" applyBorder="1" applyAlignment="1">
      <alignment horizontal="center" vertical="center"/>
    </xf>
    <xf numFmtId="0" fontId="14" fillId="0" borderId="25" xfId="3" applyFont="1" applyBorder="1" applyAlignment="1"/>
    <xf numFmtId="0" fontId="14" fillId="0" borderId="25" xfId="3" applyFont="1" applyBorder="1" applyAlignment="1">
      <alignment horizontal="center"/>
    </xf>
    <xf numFmtId="4" fontId="14" fillId="0" borderId="22" xfId="3" applyNumberFormat="1" applyFont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3" fontId="0" fillId="0" borderId="1" xfId="0" applyNumberFormat="1" applyBorder="1"/>
    <xf numFmtId="4" fontId="0" fillId="0" borderId="1" xfId="0" applyNumberFormat="1" applyBorder="1"/>
    <xf numFmtId="0" fontId="1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3" fontId="7" fillId="11" borderId="1" xfId="0" applyNumberFormat="1" applyFont="1" applyFill="1" applyBorder="1" applyAlignment="1" applyProtection="1">
      <alignment horizontal="center" vertical="top"/>
      <protection hidden="1"/>
    </xf>
    <xf numFmtId="0" fontId="24" fillId="32" borderId="22" xfId="3" applyFont="1" applyFill="1" applyBorder="1" applyAlignment="1">
      <alignment horizontal="center" vertical="top" wrapText="1"/>
    </xf>
    <xf numFmtId="0" fontId="14" fillId="0" borderId="21" xfId="3" applyFont="1" applyBorder="1" applyAlignment="1">
      <alignment horizontal="left" vertical="center" wrapText="1"/>
    </xf>
    <xf numFmtId="0" fontId="56" fillId="0" borderId="0" xfId="0" applyFont="1"/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33" borderId="31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wrapText="1"/>
    </xf>
    <xf numFmtId="49" fontId="59" fillId="34" borderId="31" xfId="0" applyNumberFormat="1" applyFont="1" applyFill="1" applyBorder="1" applyAlignment="1">
      <alignment horizontal="right" wrapText="1"/>
    </xf>
    <xf numFmtId="0" fontId="59" fillId="16" borderId="31" xfId="0" applyFont="1" applyFill="1" applyBorder="1" applyAlignment="1">
      <alignment wrapText="1"/>
    </xf>
    <xf numFmtId="49" fontId="59" fillId="16" borderId="31" xfId="0" applyNumberFormat="1" applyFont="1" applyFill="1" applyBorder="1" applyAlignment="1">
      <alignment horizontal="right" wrapText="1"/>
    </xf>
    <xf numFmtId="0" fontId="59" fillId="35" borderId="31" xfId="0" applyFont="1" applyFill="1" applyBorder="1" applyAlignment="1">
      <alignment wrapText="1"/>
    </xf>
    <xf numFmtId="49" fontId="59" fillId="35" borderId="3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14" fillId="0" borderId="21" xfId="3" applyFont="1" applyBorder="1" applyAlignment="1">
      <alignment vertical="top" wrapText="1"/>
    </xf>
    <xf numFmtId="0" fontId="13" fillId="0" borderId="0" xfId="0" applyFont="1" applyAlignment="1"/>
    <xf numFmtId="3" fontId="61" fillId="0" borderId="1" xfId="0" applyNumberFormat="1" applyFont="1" applyFill="1" applyBorder="1" applyAlignment="1" applyProtection="1">
      <alignment vertical="top"/>
      <protection locked="0"/>
    </xf>
    <xf numFmtId="167" fontId="61" fillId="0" borderId="1" xfId="0" applyNumberFormat="1" applyFont="1" applyFill="1" applyBorder="1" applyAlignment="1" applyProtection="1">
      <alignment vertical="top"/>
      <protection locked="0"/>
    </xf>
    <xf numFmtId="167" fontId="62" fillId="11" borderId="1" xfId="0" applyNumberFormat="1" applyFont="1" applyFill="1" applyBorder="1" applyAlignment="1" applyProtection="1">
      <alignment vertical="top"/>
      <protection hidden="1"/>
    </xf>
    <xf numFmtId="0" fontId="35" fillId="20" borderId="19" xfId="3" applyFont="1" applyFill="1" applyBorder="1" applyAlignment="1">
      <alignment horizontal="center" wrapText="1"/>
    </xf>
    <xf numFmtId="0" fontId="35" fillId="7" borderId="16" xfId="3" applyFont="1" applyFill="1" applyBorder="1" applyAlignment="1">
      <alignment horizontal="center" vertical="top" wrapText="1"/>
    </xf>
    <xf numFmtId="0" fontId="40" fillId="0" borderId="0" xfId="0" applyFont="1" applyFill="1" applyBorder="1" applyAlignment="1" applyProtection="1">
      <alignment vertical="center"/>
      <protection locked="0"/>
    </xf>
    <xf numFmtId="0" fontId="65" fillId="0" borderId="0" xfId="5" applyFont="1"/>
    <xf numFmtId="0" fontId="65" fillId="0" borderId="0" xfId="5" applyFont="1" applyAlignment="1">
      <alignment vertical="center"/>
    </xf>
    <xf numFmtId="0" fontId="65" fillId="0" borderId="0" xfId="5" applyNumberFormat="1" applyFont="1" applyAlignment="1">
      <alignment horizontal="center" vertical="top"/>
    </xf>
    <xf numFmtId="0" fontId="65" fillId="0" borderId="0" xfId="5" applyFont="1" applyAlignment="1">
      <alignment vertical="top" wrapText="1"/>
    </xf>
    <xf numFmtId="0" fontId="65" fillId="0" borderId="4" xfId="5" applyFont="1" applyFill="1" applyBorder="1" applyAlignment="1">
      <alignment vertical="top" wrapText="1"/>
    </xf>
    <xf numFmtId="0" fontId="65" fillId="36" borderId="1" xfId="5" applyFont="1" applyFill="1" applyBorder="1" applyAlignment="1">
      <alignment horizontal="center" vertical="top" textRotation="90" wrapText="1"/>
    </xf>
    <xf numFmtId="0" fontId="66" fillId="36" borderId="1" xfId="5" applyNumberFormat="1" applyFont="1" applyFill="1" applyBorder="1" applyAlignment="1">
      <alignment vertical="top" wrapText="1"/>
    </xf>
    <xf numFmtId="0" fontId="65" fillId="0" borderId="6" xfId="5" applyFont="1" applyFill="1" applyBorder="1"/>
    <xf numFmtId="2" fontId="66" fillId="36" borderId="1" xfId="5" applyNumberFormat="1" applyFont="1" applyFill="1" applyBorder="1" applyAlignment="1">
      <alignment horizontal="center" vertical="top" wrapText="1"/>
    </xf>
    <xf numFmtId="0" fontId="66" fillId="36" borderId="1" xfId="5" applyFont="1" applyFill="1" applyBorder="1" applyAlignment="1">
      <alignment horizontal="center" wrapText="1"/>
    </xf>
    <xf numFmtId="0" fontId="67" fillId="36" borderId="1" xfId="5" applyFont="1" applyFill="1" applyBorder="1"/>
    <xf numFmtId="0" fontId="65" fillId="0" borderId="1" xfId="5" applyFont="1" applyFill="1" applyBorder="1" applyAlignment="1">
      <alignment horizontal="center"/>
    </xf>
    <xf numFmtId="2" fontId="66" fillId="0" borderId="12" xfId="5" applyNumberFormat="1" applyFont="1" applyFill="1" applyBorder="1" applyAlignment="1">
      <alignment horizontal="center" vertical="top" wrapText="1"/>
    </xf>
    <xf numFmtId="2" fontId="66" fillId="0" borderId="1" xfId="5" applyNumberFormat="1" applyFont="1" applyFill="1" applyBorder="1" applyAlignment="1">
      <alignment horizontal="center" vertical="top" wrapText="1"/>
    </xf>
    <xf numFmtId="0" fontId="66" fillId="0" borderId="1" xfId="5" applyFont="1" applyFill="1" applyBorder="1" applyAlignment="1">
      <alignment horizontal="center" vertical="top" wrapText="1"/>
    </xf>
    <xf numFmtId="0" fontId="65" fillId="36" borderId="1" xfId="5" applyFont="1" applyFill="1" applyBorder="1"/>
    <xf numFmtId="168" fontId="65" fillId="36" borderId="1" xfId="5" applyNumberFormat="1" applyFont="1" applyFill="1" applyBorder="1"/>
    <xf numFmtId="0" fontId="65" fillId="0" borderId="0" xfId="5" applyFont="1" applyFill="1"/>
    <xf numFmtId="0" fontId="65" fillId="12" borderId="1" xfId="5" applyFont="1" applyFill="1" applyBorder="1"/>
    <xf numFmtId="0" fontId="68" fillId="12" borderId="1" xfId="5" applyFont="1" applyFill="1" applyBorder="1" applyAlignment="1">
      <alignment horizontal="center"/>
    </xf>
    <xf numFmtId="0" fontId="66" fillId="12" borderId="1" xfId="5" applyFont="1" applyFill="1" applyBorder="1" applyAlignment="1">
      <alignment horizontal="center" vertical="center" wrapText="1"/>
    </xf>
    <xf numFmtId="0" fontId="65" fillId="0" borderId="0" xfId="5" applyFont="1" applyBorder="1"/>
    <xf numFmtId="0" fontId="65" fillId="0" borderId="0" xfId="5" applyFont="1" applyAlignment="1">
      <alignment horizontal="left" vertical="top" wrapText="1"/>
    </xf>
    <xf numFmtId="0" fontId="66" fillId="0" borderId="0" xfId="5" applyFont="1" applyAlignment="1">
      <alignment horizontal="left" vertical="top" wrapText="1"/>
    </xf>
    <xf numFmtId="0" fontId="70" fillId="0" borderId="0" xfId="5" applyFont="1" applyAlignment="1">
      <alignment horizontal="left" vertical="top" wrapText="1"/>
    </xf>
    <xf numFmtId="0" fontId="66" fillId="0" borderId="0" xfId="5" applyFont="1"/>
    <xf numFmtId="0" fontId="65" fillId="0" borderId="0" xfId="5" applyFont="1" applyBorder="1" applyAlignment="1">
      <alignment vertical="top" wrapText="1"/>
    </xf>
    <xf numFmtId="0" fontId="65" fillId="36" borderId="8" xfId="5" applyFont="1" applyFill="1" applyBorder="1" applyAlignment="1">
      <alignment vertical="top" wrapText="1"/>
    </xf>
    <xf numFmtId="0" fontId="65" fillId="36" borderId="5" xfId="5" applyFont="1" applyFill="1" applyBorder="1" applyAlignment="1">
      <alignment vertical="top" wrapText="1"/>
    </xf>
    <xf numFmtId="0" fontId="65" fillId="36" borderId="15" xfId="5" applyFont="1" applyFill="1" applyBorder="1"/>
    <xf numFmtId="0" fontId="65" fillId="36" borderId="6" xfId="5" applyFont="1" applyFill="1" applyBorder="1"/>
    <xf numFmtId="2" fontId="66" fillId="36" borderId="1" xfId="5" applyNumberFormat="1" applyFont="1" applyFill="1" applyBorder="1" applyAlignment="1">
      <alignment horizontal="center" vertical="center" wrapText="1"/>
    </xf>
    <xf numFmtId="2" fontId="66" fillId="36" borderId="1" xfId="5" applyNumberFormat="1" applyFont="1" applyFill="1" applyBorder="1" applyAlignment="1">
      <alignment horizontal="center" vertical="center"/>
    </xf>
    <xf numFmtId="0" fontId="65" fillId="0" borderId="1" xfId="5" applyFont="1" applyBorder="1" applyProtection="1">
      <protection locked="0"/>
    </xf>
    <xf numFmtId="2" fontId="66" fillId="0" borderId="1" xfId="5" applyNumberFormat="1" applyFont="1" applyFill="1" applyBorder="1" applyAlignment="1">
      <alignment horizontal="center" vertical="top"/>
    </xf>
    <xf numFmtId="2" fontId="65" fillId="0" borderId="0" xfId="5" applyNumberFormat="1" applyFont="1" applyBorder="1" applyAlignment="1">
      <alignment horizontal="center" vertical="center"/>
    </xf>
    <xf numFmtId="2" fontId="65" fillId="0" borderId="0" xfId="5" applyNumberFormat="1" applyFont="1" applyBorder="1"/>
    <xf numFmtId="0" fontId="67" fillId="0" borderId="1" xfId="5" applyFont="1" applyBorder="1" applyAlignment="1" applyProtection="1">
      <alignment vertical="center"/>
      <protection locked="0"/>
    </xf>
    <xf numFmtId="2" fontId="66" fillId="0" borderId="1" xfId="5" quotePrefix="1" applyNumberFormat="1" applyFont="1" applyFill="1" applyBorder="1" applyAlignment="1">
      <alignment horizontal="center" vertical="top"/>
    </xf>
    <xf numFmtId="0" fontId="65" fillId="0" borderId="3" xfId="5" applyFont="1" applyBorder="1" applyProtection="1">
      <protection locked="0"/>
    </xf>
    <xf numFmtId="2" fontId="66" fillId="0" borderId="2" xfId="5" applyNumberFormat="1" applyFont="1" applyFill="1" applyBorder="1" applyAlignment="1">
      <alignment horizontal="center" vertical="top"/>
    </xf>
    <xf numFmtId="0" fontId="66" fillId="0" borderId="7" xfId="5" applyFont="1" applyFill="1" applyBorder="1" applyAlignment="1">
      <alignment horizontal="center" vertical="top" wrapText="1"/>
    </xf>
    <xf numFmtId="0" fontId="65" fillId="0" borderId="0" xfId="5" applyFont="1" applyFill="1" applyBorder="1"/>
    <xf numFmtId="0" fontId="65" fillId="0" borderId="1" xfId="5" applyFont="1" applyFill="1" applyBorder="1" applyProtection="1">
      <protection locked="0"/>
    </xf>
    <xf numFmtId="2" fontId="66" fillId="0" borderId="12" xfId="5" applyNumberFormat="1" applyFont="1" applyFill="1" applyBorder="1" applyAlignment="1">
      <alignment horizontal="center" vertical="top"/>
    </xf>
    <xf numFmtId="0" fontId="69" fillId="0" borderId="0" xfId="5" applyNumberFormat="1" applyFont="1" applyBorder="1" applyAlignment="1">
      <alignment vertical="top"/>
    </xf>
    <xf numFmtId="0" fontId="69" fillId="0" borderId="9" xfId="5" applyNumberFormat="1" applyFont="1" applyBorder="1" applyAlignment="1">
      <alignment vertical="top"/>
    </xf>
    <xf numFmtId="0" fontId="65" fillId="0" borderId="0" xfId="5" applyNumberFormat="1" applyFont="1" applyAlignment="1">
      <alignment vertical="top" wrapText="1"/>
    </xf>
    <xf numFmtId="49" fontId="65" fillId="0" borderId="0" xfId="5" applyNumberFormat="1" applyFont="1" applyAlignment="1"/>
    <xf numFmtId="0" fontId="65" fillId="0" borderId="0" xfId="5" applyFont="1" applyAlignment="1">
      <alignment horizontal="left"/>
    </xf>
    <xf numFmtId="0" fontId="65" fillId="0" borderId="0" xfId="5" applyFont="1" applyAlignment="1">
      <alignment horizontal="left" vertical="center"/>
    </xf>
    <xf numFmtId="0" fontId="66" fillId="0" borderId="0" xfId="5" applyFont="1" applyAlignment="1">
      <alignment horizontal="left"/>
    </xf>
    <xf numFmtId="0" fontId="65" fillId="0" borderId="0" xfId="5" applyFont="1" applyAlignment="1">
      <alignment wrapText="1"/>
    </xf>
    <xf numFmtId="0" fontId="65" fillId="36" borderId="8" xfId="5" applyFont="1" applyFill="1" applyBorder="1"/>
    <xf numFmtId="0" fontId="65" fillId="36" borderId="5" xfId="5" applyFont="1" applyFill="1" applyBorder="1"/>
    <xf numFmtId="0" fontId="66" fillId="36" borderId="1" xfId="5" applyNumberFormat="1" applyFont="1" applyFill="1" applyBorder="1" applyAlignment="1">
      <alignment horizontal="center" vertical="top"/>
    </xf>
    <xf numFmtId="2" fontId="65" fillId="0" borderId="0" xfId="5" applyNumberFormat="1" applyFont="1"/>
    <xf numFmtId="0" fontId="65" fillId="0" borderId="1" xfId="5" applyFont="1" applyFill="1" applyBorder="1" applyAlignment="1">
      <alignment horizontal="center" vertical="center"/>
    </xf>
    <xf numFmtId="2" fontId="66" fillId="0" borderId="1" xfId="5" applyNumberFormat="1" applyFont="1" applyFill="1" applyBorder="1" applyAlignment="1">
      <alignment horizontal="center" vertical="center"/>
    </xf>
    <xf numFmtId="0" fontId="66" fillId="0" borderId="1" xfId="5" applyFont="1" applyFill="1" applyBorder="1" applyAlignment="1">
      <alignment vertical="top" wrapText="1"/>
    </xf>
    <xf numFmtId="0" fontId="65" fillId="0" borderId="1" xfId="5" applyFont="1" applyBorder="1" applyAlignment="1" applyProtection="1">
      <alignment vertical="center"/>
      <protection locked="0"/>
    </xf>
    <xf numFmtId="0" fontId="66" fillId="0" borderId="1" xfId="5" applyFont="1" applyFill="1" applyBorder="1" applyAlignment="1">
      <alignment horizontal="left" vertical="center" wrapText="1"/>
    </xf>
    <xf numFmtId="0" fontId="66" fillId="0" borderId="1" xfId="5" applyFont="1" applyFill="1" applyBorder="1" applyAlignment="1">
      <alignment horizontal="left" vertical="top" wrapText="1"/>
    </xf>
    <xf numFmtId="2" fontId="66" fillId="0" borderId="12" xfId="5" applyNumberFormat="1" applyFont="1" applyFill="1" applyBorder="1" applyAlignment="1">
      <alignment horizontal="center" vertical="center"/>
    </xf>
    <xf numFmtId="0" fontId="71" fillId="36" borderId="1" xfId="5" applyFont="1" applyFill="1" applyBorder="1" applyAlignment="1">
      <alignment horizontal="left" vertical="center" wrapText="1"/>
    </xf>
    <xf numFmtId="0" fontId="65" fillId="37" borderId="1" xfId="5" applyFont="1" applyFill="1" applyBorder="1" applyAlignment="1" applyProtection="1">
      <alignment vertical="center"/>
      <protection locked="0"/>
    </xf>
    <xf numFmtId="0" fontId="65" fillId="25" borderId="1" xfId="5" applyFont="1" applyFill="1" applyBorder="1" applyAlignment="1">
      <alignment horizontal="center" vertical="center"/>
    </xf>
    <xf numFmtId="2" fontId="66" fillId="37" borderId="1" xfId="5" applyNumberFormat="1" applyFont="1" applyFill="1" applyBorder="1" applyAlignment="1">
      <alignment horizontal="center" vertical="center"/>
    </xf>
    <xf numFmtId="0" fontId="66" fillId="37" borderId="1" xfId="5" applyFont="1" applyFill="1" applyBorder="1" applyAlignment="1">
      <alignment horizontal="left" vertical="center" wrapText="1"/>
    </xf>
    <xf numFmtId="0" fontId="65" fillId="0" borderId="1" xfId="5" applyFont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2" fontId="73" fillId="0" borderId="1" xfId="5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 applyProtection="1">
      <alignment horizontal="lef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14" fillId="0" borderId="21" xfId="3" applyFont="1" applyBorder="1" applyAlignment="1">
      <alignment vertical="top" wrapText="1"/>
    </xf>
    <xf numFmtId="0" fontId="35" fillId="4" borderId="16" xfId="3" applyFont="1" applyFill="1" applyBorder="1" applyAlignment="1">
      <alignment horizontal="center" wrapText="1"/>
    </xf>
    <xf numFmtId="0" fontId="35" fillId="4" borderId="23" xfId="3" applyFont="1" applyFill="1" applyBorder="1" applyAlignment="1">
      <alignment horizontal="center" wrapText="1"/>
    </xf>
    <xf numFmtId="0" fontId="35" fillId="4" borderId="29" xfId="3" applyFont="1" applyFill="1" applyBorder="1" applyAlignment="1">
      <alignment horizontal="center" wrapText="1"/>
    </xf>
    <xf numFmtId="0" fontId="14" fillId="0" borderId="4" xfId="0" applyFont="1" applyFill="1" applyBorder="1" applyAlignment="1" applyProtection="1">
      <alignment vertical="top"/>
      <protection hidden="1"/>
    </xf>
    <xf numFmtId="0" fontId="14" fillId="38" borderId="1" xfId="0" applyFont="1" applyFill="1" applyBorder="1" applyAlignment="1" applyProtection="1">
      <alignment horizontal="center" vertical="top"/>
      <protection hidden="1"/>
    </xf>
    <xf numFmtId="3" fontId="7" fillId="38" borderId="1" xfId="0" applyNumberFormat="1" applyFont="1" applyFill="1" applyBorder="1" applyAlignment="1" applyProtection="1">
      <alignment vertical="top"/>
      <protection hidden="1"/>
    </xf>
    <xf numFmtId="3" fontId="14" fillId="38" borderId="1" xfId="0" applyNumberFormat="1" applyFont="1" applyFill="1" applyBorder="1" applyAlignment="1" applyProtection="1">
      <alignment vertical="top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35" fillId="20" borderId="19" xfId="3" applyFont="1" applyFill="1" applyBorder="1" applyAlignment="1">
      <alignment horizontal="center" vertical="top"/>
    </xf>
    <xf numFmtId="0" fontId="14" fillId="31" borderId="0" xfId="3" applyFont="1" applyFill="1" applyBorder="1"/>
    <xf numFmtId="2" fontId="14" fillId="31" borderId="0" xfId="3" applyNumberFormat="1" applyFont="1" applyFill="1" applyBorder="1"/>
    <xf numFmtId="0" fontId="14" fillId="0" borderId="18" xfId="3" applyFont="1" applyBorder="1" applyAlignment="1">
      <alignment wrapText="1"/>
    </xf>
    <xf numFmtId="0" fontId="35" fillId="22" borderId="16" xfId="3" applyFont="1" applyFill="1" applyBorder="1" applyAlignment="1">
      <alignment horizontal="center" wrapText="1"/>
    </xf>
    <xf numFmtId="2" fontId="14" fillId="22" borderId="17" xfId="3" applyNumberFormat="1" applyFont="1" applyFill="1" applyBorder="1" applyAlignment="1">
      <alignment horizontal="center"/>
    </xf>
    <xf numFmtId="0" fontId="55" fillId="7" borderId="16" xfId="3" applyFont="1" applyFill="1" applyBorder="1" applyAlignment="1">
      <alignment horizontal="center" vertical="top"/>
    </xf>
    <xf numFmtId="0" fontId="35" fillId="20" borderId="29" xfId="3" applyFont="1" applyFill="1" applyBorder="1" applyAlignment="1"/>
    <xf numFmtId="0" fontId="35" fillId="7" borderId="16" xfId="3" applyFont="1" applyFill="1" applyBorder="1" applyAlignment="1"/>
    <xf numFmtId="0" fontId="55" fillId="20" borderId="17" xfId="3" applyFont="1" applyFill="1" applyBorder="1" applyAlignment="1">
      <alignment horizontal="center" vertical="top"/>
    </xf>
    <xf numFmtId="0" fontId="55" fillId="20" borderId="29" xfId="3" applyFont="1" applyFill="1" applyBorder="1" applyAlignment="1">
      <alignment horizontal="center" vertical="top"/>
    </xf>
    <xf numFmtId="0" fontId="35" fillId="20" borderId="17" xfId="3" applyFont="1" applyFill="1" applyBorder="1" applyAlignment="1"/>
    <xf numFmtId="4" fontId="35" fillId="4" borderId="17" xfId="3" applyNumberFormat="1" applyFont="1" applyFill="1" applyBorder="1" applyAlignment="1">
      <alignment horizontal="center"/>
    </xf>
    <xf numFmtId="4" fontId="14" fillId="4" borderId="17" xfId="3" applyNumberFormat="1" applyFont="1" applyFill="1" applyBorder="1" applyAlignment="1">
      <alignment horizontal="center"/>
    </xf>
    <xf numFmtId="1" fontId="14" fillId="22" borderId="21" xfId="3" applyNumberFormat="1" applyFont="1" applyFill="1" applyBorder="1" applyAlignment="1">
      <alignment horizontal="center"/>
    </xf>
    <xf numFmtId="1" fontId="14" fillId="0" borderId="17" xfId="3" applyNumberFormat="1" applyFont="1" applyBorder="1" applyAlignment="1">
      <alignment horizontal="center"/>
    </xf>
    <xf numFmtId="0" fontId="31" fillId="0" borderId="1" xfId="2" applyFont="1" applyBorder="1" applyAlignment="1">
      <alignment horizontal="center" shrinkToFit="1"/>
    </xf>
    <xf numFmtId="0" fontId="31" fillId="11" borderId="1" xfId="2" applyFont="1" applyFill="1" applyBorder="1" applyAlignment="1">
      <alignment horizontal="center" shrinkToFit="1"/>
    </xf>
    <xf numFmtId="0" fontId="74" fillId="0" borderId="0" xfId="2" applyFont="1" applyAlignment="1">
      <alignment horizontal="center"/>
    </xf>
    <xf numFmtId="0" fontId="74" fillId="0" borderId="0" xfId="2" applyFont="1" applyBorder="1" applyAlignment="1">
      <alignment horizontal="center"/>
    </xf>
    <xf numFmtId="0" fontId="75" fillId="0" borderId="1" xfId="2" applyFont="1" applyBorder="1" applyAlignment="1">
      <alignment horizontal="center"/>
    </xf>
    <xf numFmtId="0" fontId="76" fillId="0" borderId="1" xfId="2" applyFont="1" applyBorder="1" applyAlignment="1">
      <alignment horizontal="center"/>
    </xf>
    <xf numFmtId="0" fontId="77" fillId="0" borderId="1" xfId="2" applyFont="1" applyBorder="1" applyAlignment="1">
      <alignment horizontal="center"/>
    </xf>
    <xf numFmtId="0" fontId="78" fillId="0" borderId="1" xfId="2" applyFont="1" applyBorder="1" applyAlignment="1">
      <alignment horizontal="center"/>
    </xf>
    <xf numFmtId="0" fontId="75" fillId="0" borderId="0" xfId="2" applyFont="1"/>
    <xf numFmtId="0" fontId="75" fillId="0" borderId="1" xfId="2" applyFont="1" applyBorder="1"/>
    <xf numFmtId="0" fontId="14" fillId="20" borderId="22" xfId="3" applyFont="1" applyFill="1" applyBorder="1" applyAlignment="1">
      <alignment horizontal="center" vertical="top" wrapText="1"/>
    </xf>
    <xf numFmtId="0" fontId="24" fillId="0" borderId="22" xfId="3" applyFont="1" applyBorder="1" applyAlignment="1">
      <alignment horizontal="center" vertical="top" wrapText="1"/>
    </xf>
    <xf numFmtId="0" fontId="24" fillId="0" borderId="0" xfId="3" applyFont="1"/>
    <xf numFmtId="0" fontId="24" fillId="0" borderId="17" xfId="3" applyFont="1" applyBorder="1" applyAlignment="1">
      <alignment horizontal="center" vertical="top" wrapText="1"/>
    </xf>
    <xf numFmtId="0" fontId="24" fillId="22" borderId="22" xfId="3" applyFont="1" applyFill="1" applyBorder="1" applyAlignment="1">
      <alignment horizontal="center" vertical="top" wrapText="1"/>
    </xf>
    <xf numFmtId="0" fontId="24" fillId="17" borderId="29" xfId="3" applyFont="1" applyFill="1" applyBorder="1" applyAlignment="1">
      <alignment horizontal="center" vertical="top" wrapText="1"/>
    </xf>
    <xf numFmtId="0" fontId="24" fillId="0" borderId="22" xfId="3" applyFont="1" applyFill="1" applyBorder="1" applyAlignment="1">
      <alignment horizontal="center" vertical="top" wrapText="1"/>
    </xf>
    <xf numFmtId="0" fontId="24" fillId="0" borderId="30" xfId="3" applyFont="1" applyBorder="1" applyAlignment="1">
      <alignment horizontal="center" vertical="top" wrapText="1"/>
    </xf>
    <xf numFmtId="0" fontId="79" fillId="17" borderId="20" xfId="3" applyFont="1" applyFill="1" applyBorder="1" applyAlignment="1">
      <alignment horizontal="center" vertical="top" wrapText="1"/>
    </xf>
    <xf numFmtId="0" fontId="79" fillId="17" borderId="24" xfId="3" applyFont="1" applyFill="1" applyBorder="1" applyAlignment="1">
      <alignment horizontal="center" vertical="top" wrapText="1"/>
    </xf>
    <xf numFmtId="0" fontId="79" fillId="17" borderId="29" xfId="3" applyFont="1" applyFill="1" applyBorder="1" applyAlignment="1">
      <alignment horizontal="center" vertical="top" wrapText="1"/>
    </xf>
    <xf numFmtId="0" fontId="79" fillId="17" borderId="22" xfId="3" applyFont="1" applyFill="1" applyBorder="1" applyAlignment="1">
      <alignment horizontal="center" vertical="top" wrapText="1"/>
    </xf>
    <xf numFmtId="0" fontId="35" fillId="4" borderId="16" xfId="3" applyFont="1" applyFill="1" applyBorder="1" applyAlignment="1">
      <alignment horizontal="center" wrapText="1"/>
    </xf>
    <xf numFmtId="0" fontId="35" fillId="4" borderId="23" xfId="3" applyFont="1" applyFill="1" applyBorder="1" applyAlignment="1">
      <alignment horizontal="center" wrapText="1"/>
    </xf>
    <xf numFmtId="0" fontId="35" fillId="4" borderId="29" xfId="3" applyFont="1" applyFill="1" applyBorder="1" applyAlignment="1">
      <alignment horizontal="center" wrapText="1"/>
    </xf>
    <xf numFmtId="2" fontId="84" fillId="9" borderId="1" xfId="3" applyNumberFormat="1" applyFont="1" applyFill="1" applyBorder="1" applyAlignment="1">
      <alignment horizontal="center" vertical="center"/>
    </xf>
    <xf numFmtId="0" fontId="41" fillId="14" borderId="1" xfId="3" applyFont="1" applyFill="1" applyBorder="1" applyAlignment="1">
      <alignment horizontal="center" vertical="top" wrapText="1"/>
    </xf>
    <xf numFmtId="0" fontId="16" fillId="31" borderId="0" xfId="0" applyFont="1" applyFill="1" applyProtection="1">
      <protection locked="0" hidden="1"/>
    </xf>
    <xf numFmtId="0" fontId="16" fillId="31" borderId="0" xfId="0" applyFont="1" applyFill="1" applyBorder="1" applyProtection="1">
      <protection locked="0" hidden="1"/>
    </xf>
    <xf numFmtId="0" fontId="51" fillId="5" borderId="0" xfId="0" applyFont="1" applyFill="1" applyProtection="1">
      <protection locked="0" hidden="1"/>
    </xf>
    <xf numFmtId="0" fontId="86" fillId="0" borderId="0" xfId="0" applyFont="1"/>
    <xf numFmtId="0" fontId="14" fillId="0" borderId="1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20" fillId="0" borderId="1" xfId="3" applyFont="1" applyBorder="1"/>
    <xf numFmtId="0" fontId="14" fillId="0" borderId="1" xfId="3" applyFont="1" applyBorder="1" applyAlignment="1">
      <alignment vertical="top"/>
    </xf>
    <xf numFmtId="0" fontId="35" fillId="0" borderId="1" xfId="3" applyFont="1" applyBorder="1" applyAlignment="1">
      <alignment horizontal="center" vertical="top"/>
    </xf>
    <xf numFmtId="0" fontId="35" fillId="19" borderId="1" xfId="3" applyFont="1" applyFill="1" applyBorder="1" applyAlignment="1">
      <alignment horizontal="center" vertical="top"/>
    </xf>
    <xf numFmtId="0" fontId="14" fillId="0" borderId="1" xfId="3" applyFont="1" applyBorder="1" applyAlignment="1">
      <alignment wrapText="1"/>
    </xf>
    <xf numFmtId="0" fontId="35" fillId="22" borderId="1" xfId="3" applyFont="1" applyFill="1" applyBorder="1" applyAlignment="1">
      <alignment horizontal="center" wrapText="1"/>
    </xf>
    <xf numFmtId="0" fontId="35" fillId="19" borderId="1" xfId="3" applyFont="1" applyFill="1" applyBorder="1" applyAlignment="1">
      <alignment horizontal="center"/>
    </xf>
    <xf numFmtId="0" fontId="14" fillId="0" borderId="1" xfId="3" applyFont="1" applyBorder="1"/>
    <xf numFmtId="0" fontId="35" fillId="0" borderId="1" xfId="3" applyFont="1" applyBorder="1" applyAlignment="1">
      <alignment horizontal="center"/>
    </xf>
    <xf numFmtId="0" fontId="50" fillId="0" borderId="1" xfId="3" applyFont="1" applyBorder="1"/>
    <xf numFmtId="2" fontId="35" fillId="19" borderId="1" xfId="3" applyNumberFormat="1" applyFont="1" applyFill="1" applyBorder="1" applyAlignment="1">
      <alignment horizontal="center"/>
    </xf>
    <xf numFmtId="2" fontId="50" fillId="0" borderId="1" xfId="3" applyNumberFormat="1" applyFont="1" applyBorder="1"/>
    <xf numFmtId="0" fontId="35" fillId="19" borderId="1" xfId="3" applyFont="1" applyFill="1" applyBorder="1" applyAlignment="1">
      <alignment horizontal="center" vertical="top" wrapText="1"/>
    </xf>
    <xf numFmtId="0" fontId="14" fillId="0" borderId="1" xfId="3" applyFont="1" applyBorder="1" applyAlignment="1">
      <alignment vertical="top" wrapText="1"/>
    </xf>
    <xf numFmtId="0" fontId="35" fillId="0" borderId="1" xfId="3" applyFont="1" applyBorder="1" applyAlignment="1">
      <alignment horizontal="center" vertical="top" wrapText="1"/>
    </xf>
    <xf numFmtId="0" fontId="35" fillId="19" borderId="1" xfId="3" applyFont="1" applyFill="1" applyBorder="1" applyAlignment="1">
      <alignment horizontal="center" wrapText="1"/>
    </xf>
    <xf numFmtId="0" fontId="14" fillId="0" borderId="1" xfId="3" applyFont="1" applyBorder="1" applyAlignment="1">
      <alignment vertical="center" wrapText="1"/>
    </xf>
    <xf numFmtId="164" fontId="35" fillId="19" borderId="1" xfId="1" applyFont="1" applyFill="1" applyBorder="1" applyAlignment="1">
      <alignment horizontal="center" vertical="top" wrapText="1"/>
    </xf>
    <xf numFmtId="43" fontId="54" fillId="0" borderId="1" xfId="3" applyNumberFormat="1" applyFont="1" applyBorder="1"/>
    <xf numFmtId="0" fontId="35" fillId="0" borderId="1" xfId="3" applyFont="1" applyBorder="1" applyAlignment="1">
      <alignment horizontal="center" wrapText="1"/>
    </xf>
    <xf numFmtId="0" fontId="14" fillId="0" borderId="1" xfId="3" applyFont="1" applyBorder="1" applyAlignment="1"/>
    <xf numFmtId="0" fontId="36" fillId="25" borderId="1" xfId="3" applyFont="1" applyFill="1" applyBorder="1"/>
    <xf numFmtId="0" fontId="36" fillId="25" borderId="1" xfId="3" applyFont="1" applyFill="1" applyBorder="1" applyAlignment="1">
      <alignment horizontal="center"/>
    </xf>
    <xf numFmtId="0" fontId="36" fillId="25" borderId="1" xfId="3" applyFont="1" applyFill="1" applyBorder="1" applyAlignment="1">
      <alignment horizontal="center" wrapText="1"/>
    </xf>
    <xf numFmtId="0" fontId="14" fillId="0" borderId="1" xfId="3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31" fillId="13" borderId="11" xfId="2" applyFont="1" applyFill="1" applyBorder="1" applyAlignment="1">
      <alignment horizontal="center"/>
    </xf>
    <xf numFmtId="0" fontId="31" fillId="13" borderId="12" xfId="2" applyFont="1" applyFill="1" applyBorder="1" applyAlignment="1">
      <alignment horizontal="center"/>
    </xf>
    <xf numFmtId="0" fontId="31" fillId="13" borderId="7" xfId="2" applyFont="1" applyFill="1" applyBorder="1" applyAlignment="1">
      <alignment horizontal="center"/>
    </xf>
    <xf numFmtId="0" fontId="31" fillId="13" borderId="3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85" fillId="0" borderId="0" xfId="0" applyFont="1" applyAlignment="1">
      <alignment horizontal="center"/>
    </xf>
    <xf numFmtId="0" fontId="29" fillId="0" borderId="0" xfId="2" applyFont="1" applyAlignment="1">
      <alignment horizontal="center"/>
    </xf>
    <xf numFmtId="0" fontId="29" fillId="0" borderId="9" xfId="2" applyFont="1" applyBorder="1" applyAlignment="1">
      <alignment horizontal="center"/>
    </xf>
    <xf numFmtId="0" fontId="14" fillId="0" borderId="0" xfId="3" applyFont="1" applyAlignment="1">
      <alignment horizontal="center"/>
    </xf>
    <xf numFmtId="0" fontId="33" fillId="0" borderId="0" xfId="3" applyFont="1" applyBorder="1" applyAlignment="1">
      <alignment horizontal="center"/>
    </xf>
    <xf numFmtId="0" fontId="7" fillId="16" borderId="1" xfId="3" applyFont="1" applyFill="1" applyBorder="1" applyAlignment="1">
      <alignment horizontal="center" vertical="center" wrapText="1"/>
    </xf>
    <xf numFmtId="0" fontId="34" fillId="16" borderId="1" xfId="3" applyFont="1" applyFill="1" applyBorder="1" applyAlignment="1">
      <alignment horizontal="center" vertical="center" wrapText="1"/>
    </xf>
    <xf numFmtId="0" fontId="34" fillId="16" borderId="1" xfId="3" applyFont="1" applyFill="1" applyBorder="1" applyAlignment="1">
      <alignment horizontal="center" vertical="center"/>
    </xf>
    <xf numFmtId="0" fontId="14" fillId="16" borderId="1" xfId="3" applyFont="1" applyFill="1" applyBorder="1" applyAlignment="1">
      <alignment horizontal="center" vertical="center"/>
    </xf>
    <xf numFmtId="0" fontId="7" fillId="17" borderId="1" xfId="3" applyFont="1" applyFill="1" applyBorder="1" applyAlignment="1">
      <alignment horizontal="left"/>
    </xf>
    <xf numFmtId="0" fontId="7" fillId="17" borderId="7" xfId="3" applyFont="1" applyFill="1" applyBorder="1" applyAlignment="1">
      <alignment horizontal="left"/>
    </xf>
    <xf numFmtId="0" fontId="7" fillId="17" borderId="2" xfId="3" applyFont="1" applyFill="1" applyBorder="1" applyAlignment="1">
      <alignment horizontal="left"/>
    </xf>
    <xf numFmtId="0" fontId="7" fillId="17" borderId="3" xfId="3" applyFont="1" applyFill="1" applyBorder="1" applyAlignment="1">
      <alignment horizontal="left"/>
    </xf>
    <xf numFmtId="0" fontId="14" fillId="0" borderId="1" xfId="3" applyFont="1" applyBorder="1" applyAlignment="1">
      <alignment vertical="center"/>
    </xf>
    <xf numFmtId="0" fontId="13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9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31" fillId="8" borderId="6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8" borderId="6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80" fillId="0" borderId="0" xfId="0" applyFon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15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10" borderId="1" xfId="0" applyFont="1" applyFill="1" applyBorder="1" applyAlignment="1" applyProtection="1">
      <alignment horizontal="center"/>
      <protection locked="0" hidden="1"/>
    </xf>
    <xf numFmtId="2" fontId="3" fillId="3" borderId="1" xfId="0" applyNumberFormat="1" applyFont="1" applyFill="1" applyBorder="1" applyAlignment="1" applyProtection="1">
      <alignment horizontal="righ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4" fontId="3" fillId="3" borderId="1" xfId="0" applyNumberFormat="1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right" vertical="top"/>
      <protection hidden="1"/>
    </xf>
    <xf numFmtId="2" fontId="3" fillId="3" borderId="1" xfId="0" applyNumberFormat="1" applyFont="1" applyFill="1" applyBorder="1" applyAlignment="1" applyProtection="1">
      <alignment horizontal="center" vertical="top"/>
      <protection hidden="1"/>
    </xf>
    <xf numFmtId="0" fontId="5" fillId="5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1" xfId="0" applyFont="1" applyBorder="1" applyAlignment="1" applyProtection="1">
      <alignment horizontal="center"/>
      <protection hidden="1"/>
    </xf>
    <xf numFmtId="2" fontId="3" fillId="3" borderId="1" xfId="1" applyNumberFormat="1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 vertical="top"/>
    </xf>
    <xf numFmtId="0" fontId="16" fillId="0" borderId="0" xfId="0" applyFont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2" fontId="3" fillId="5" borderId="7" xfId="0" applyNumberFormat="1" applyFont="1" applyFill="1" applyBorder="1" applyAlignment="1" applyProtection="1">
      <alignment horizontal="right" vertical="top"/>
      <protection hidden="1"/>
    </xf>
    <xf numFmtId="2" fontId="3" fillId="5" borderId="3" xfId="0" applyNumberFormat="1" applyFont="1" applyFill="1" applyBorder="1" applyAlignment="1" applyProtection="1">
      <alignment horizontal="right" vertical="top"/>
      <protection hidden="1"/>
    </xf>
    <xf numFmtId="2" fontId="3" fillId="5" borderId="11" xfId="0" applyNumberFormat="1" applyFont="1" applyFill="1" applyBorder="1" applyAlignment="1" applyProtection="1">
      <alignment horizontal="center" vertical="top"/>
      <protection hidden="1"/>
    </xf>
    <xf numFmtId="2" fontId="3" fillId="5" borderId="13" xfId="0" applyNumberFormat="1" applyFont="1" applyFill="1" applyBorder="1" applyAlignment="1" applyProtection="1">
      <alignment horizontal="center" vertical="top"/>
      <protection hidden="1"/>
    </xf>
    <xf numFmtId="2" fontId="3" fillId="5" borderId="12" xfId="0" applyNumberFormat="1" applyFont="1" applyFill="1" applyBorder="1" applyAlignment="1" applyProtection="1">
      <alignment horizontal="center" vertical="top"/>
      <protection hidden="1"/>
    </xf>
    <xf numFmtId="4" fontId="3" fillId="11" borderId="7" xfId="0" applyNumberFormat="1" applyFont="1" applyFill="1" applyBorder="1" applyAlignment="1" applyProtection="1">
      <alignment vertical="top"/>
      <protection hidden="1"/>
    </xf>
    <xf numFmtId="4" fontId="3" fillId="11" borderId="3" xfId="0" applyNumberFormat="1" applyFont="1" applyFill="1" applyBorder="1" applyAlignment="1" applyProtection="1">
      <alignment vertical="top"/>
      <protection hidden="1"/>
    </xf>
    <xf numFmtId="2" fontId="3" fillId="11" borderId="11" xfId="0" applyNumberFormat="1" applyFont="1" applyFill="1" applyBorder="1" applyAlignment="1" applyProtection="1">
      <alignment horizontal="center" vertical="top"/>
      <protection hidden="1"/>
    </xf>
    <xf numFmtId="2" fontId="3" fillId="11" borderId="13" xfId="0" applyNumberFormat="1" applyFont="1" applyFill="1" applyBorder="1" applyAlignment="1" applyProtection="1">
      <alignment horizontal="center" vertical="top"/>
      <protection hidden="1"/>
    </xf>
    <xf numFmtId="2" fontId="3" fillId="11" borderId="12" xfId="0" applyNumberFormat="1" applyFont="1" applyFill="1" applyBorder="1" applyAlignment="1" applyProtection="1">
      <alignment horizontal="center" vertical="top"/>
      <protection hidden="1"/>
    </xf>
    <xf numFmtId="2" fontId="3" fillId="11" borderId="7" xfId="0" applyNumberFormat="1" applyFont="1" applyFill="1" applyBorder="1" applyAlignment="1" applyProtection="1">
      <alignment horizontal="right" vertical="top"/>
      <protection hidden="1"/>
    </xf>
    <xf numFmtId="2" fontId="3" fillId="11" borderId="3" xfId="0" applyNumberFormat="1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5" fillId="11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 vertical="top"/>
      <protection locked="0"/>
    </xf>
    <xf numFmtId="4" fontId="3" fillId="5" borderId="7" xfId="0" applyNumberFormat="1" applyFont="1" applyFill="1" applyBorder="1" applyAlignment="1" applyProtection="1">
      <alignment vertical="top"/>
      <protection hidden="1"/>
    </xf>
    <xf numFmtId="4" fontId="3" fillId="5" borderId="3" xfId="0" applyNumberFormat="1" applyFont="1" applyFill="1" applyBorder="1" applyAlignment="1" applyProtection="1">
      <alignment vertical="top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167" fontId="3" fillId="11" borderId="7" xfId="0" applyNumberFormat="1" applyFont="1" applyFill="1" applyBorder="1" applyAlignment="1" applyProtection="1">
      <alignment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7" fillId="10" borderId="7" xfId="0" applyFont="1" applyFill="1" applyBorder="1" applyAlignment="1" applyProtection="1">
      <alignment horizontal="center" vertical="center"/>
      <protection locked="0" hidden="1"/>
    </xf>
    <xf numFmtId="0" fontId="7" fillId="10" borderId="3" xfId="0" applyFont="1" applyFill="1" applyBorder="1" applyAlignment="1" applyProtection="1">
      <alignment horizontal="center" vertical="center"/>
      <protection locked="0" hidden="1"/>
    </xf>
    <xf numFmtId="3" fontId="3" fillId="11" borderId="1" xfId="0" applyNumberFormat="1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2" fontId="3" fillId="11" borderId="11" xfId="0" applyNumberFormat="1" applyFont="1" applyFill="1" applyBorder="1" applyAlignment="1" applyProtection="1">
      <alignment horizontal="center" vertical="top" wrapText="1"/>
      <protection hidden="1"/>
    </xf>
    <xf numFmtId="2" fontId="3" fillId="11" borderId="13" xfId="0" applyNumberFormat="1" applyFont="1" applyFill="1" applyBorder="1" applyAlignment="1" applyProtection="1">
      <alignment horizontal="center" vertical="top" wrapText="1"/>
      <protection hidden="1"/>
    </xf>
    <xf numFmtId="2" fontId="3" fillId="11" borderId="12" xfId="0" applyNumberFormat="1" applyFont="1" applyFill="1" applyBorder="1" applyAlignment="1" applyProtection="1">
      <alignment horizontal="center" vertical="top" wrapText="1"/>
      <protection hidden="1"/>
    </xf>
    <xf numFmtId="3" fontId="3" fillId="11" borderId="7" xfId="0" applyNumberFormat="1" applyFont="1" applyFill="1" applyBorder="1" applyAlignment="1" applyProtection="1">
      <alignment vertical="top"/>
      <protection hidden="1"/>
    </xf>
    <xf numFmtId="3" fontId="3" fillId="11" borderId="3" xfId="0" applyNumberFormat="1" applyFont="1" applyFill="1" applyBorder="1" applyAlignment="1" applyProtection="1">
      <alignment vertical="top"/>
      <protection hidden="1"/>
    </xf>
    <xf numFmtId="0" fontId="5" fillId="5" borderId="0" xfId="0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horizontal="left" vertical="top" wrapText="1"/>
      <protection hidden="1"/>
    </xf>
    <xf numFmtId="0" fontId="14" fillId="4" borderId="3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2" xfId="0" applyFont="1" applyFill="1" applyBorder="1" applyAlignment="1" applyProtection="1">
      <alignment horizontal="left" vertical="top"/>
      <protection hidden="1"/>
    </xf>
    <xf numFmtId="0" fontId="14" fillId="4" borderId="3" xfId="0" applyFont="1" applyFill="1" applyBorder="1" applyAlignment="1" applyProtection="1">
      <alignment horizontal="left" vertical="top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14" fillId="0" borderId="3" xfId="0" applyFont="1" applyBorder="1" applyAlignment="1" applyProtection="1">
      <alignment horizontal="left" vertical="top" wrapText="1"/>
      <protection hidden="1"/>
    </xf>
    <xf numFmtId="4" fontId="3" fillId="11" borderId="1" xfId="0" applyNumberFormat="1" applyFont="1" applyFill="1" applyBorder="1" applyAlignment="1" applyProtection="1">
      <alignment vertical="top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2" fontId="3" fillId="11" borderId="7" xfId="0" applyNumberFormat="1" applyFont="1" applyFill="1" applyBorder="1" applyAlignment="1" applyProtection="1">
      <alignment vertical="top"/>
      <protection hidden="1"/>
    </xf>
    <xf numFmtId="2" fontId="3" fillId="11" borderId="3" xfId="0" applyNumberFormat="1" applyFont="1" applyFill="1" applyBorder="1" applyAlignment="1" applyProtection="1">
      <alignment vertical="top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165" fontId="3" fillId="11" borderId="1" xfId="0" applyNumberFormat="1" applyFont="1" applyFill="1" applyBorder="1" applyAlignment="1" applyProtection="1">
      <alignment vertical="top"/>
      <protection hidden="1"/>
    </xf>
    <xf numFmtId="2" fontId="3" fillId="11" borderId="1" xfId="0" applyNumberFormat="1" applyFont="1" applyFill="1" applyBorder="1" applyAlignment="1" applyProtection="1">
      <alignment horizontal="right" vertical="top"/>
      <protection hidden="1"/>
    </xf>
    <xf numFmtId="2" fontId="3" fillId="11" borderId="1" xfId="0" applyNumberFormat="1" applyFont="1" applyFill="1" applyBorder="1" applyAlignment="1" applyProtection="1">
      <alignment horizontal="center" vertical="top"/>
      <protection hidden="1"/>
    </xf>
    <xf numFmtId="3" fontId="3" fillId="11" borderId="7" xfId="0" applyNumberFormat="1" applyFont="1" applyFill="1" applyBorder="1" applyAlignment="1" applyProtection="1">
      <alignment horizontal="right" vertical="top"/>
      <protection hidden="1"/>
    </xf>
    <xf numFmtId="3" fontId="3" fillId="11" borderId="3" xfId="0" applyNumberFormat="1" applyFont="1" applyFill="1" applyBorder="1" applyAlignment="1" applyProtection="1">
      <alignment horizontal="right" vertical="top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62" fillId="0" borderId="7" xfId="0" applyFont="1" applyBorder="1" applyAlignment="1" applyProtection="1">
      <alignment horizontal="center" vertical="center" wrapText="1"/>
      <protection hidden="1"/>
    </xf>
    <xf numFmtId="0" fontId="62" fillId="0" borderId="3" xfId="0" applyFont="1" applyBorder="1" applyAlignment="1" applyProtection="1">
      <alignment horizontal="center" vertical="center" wrapText="1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11" borderId="7" xfId="0" applyFont="1" applyFill="1" applyBorder="1" applyAlignment="1" applyProtection="1">
      <alignment horizontal="center" vertical="center" wrapText="1"/>
      <protection hidden="1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top" wrapText="1"/>
      <protection hidden="1"/>
    </xf>
    <xf numFmtId="0" fontId="3" fillId="6" borderId="3" xfId="0" applyFont="1" applyFill="1" applyBorder="1" applyAlignment="1" applyProtection="1">
      <alignment horizontal="left" vertical="top" wrapText="1"/>
      <protection hidden="1"/>
    </xf>
    <xf numFmtId="0" fontId="5" fillId="11" borderId="1" xfId="0" applyFont="1" applyFill="1" applyBorder="1" applyAlignment="1" applyProtection="1">
      <alignment horizontal="center" vertical="top" wrapText="1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16" fillId="0" borderId="3" xfId="0" applyFont="1" applyBorder="1" applyAlignment="1" applyProtection="1">
      <alignment horizontal="left" vertical="top" wrapText="1"/>
      <protection hidden="1"/>
    </xf>
    <xf numFmtId="164" fontId="3" fillId="11" borderId="1" xfId="1" applyFont="1" applyFill="1" applyBorder="1" applyAlignment="1" applyProtection="1">
      <alignment horizontal="center" vertical="top"/>
      <protection hidden="1"/>
    </xf>
    <xf numFmtId="164" fontId="3" fillId="11" borderId="1" xfId="1" applyFont="1" applyFill="1" applyBorder="1" applyAlignment="1" applyProtection="1">
      <alignment horizontal="center"/>
      <protection hidden="1"/>
    </xf>
    <xf numFmtId="0" fontId="31" fillId="8" borderId="9" xfId="0" applyFont="1" applyFill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locked="0"/>
    </xf>
    <xf numFmtId="164" fontId="3" fillId="0" borderId="0" xfId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2" fontId="3" fillId="11" borderId="1" xfId="0" applyNumberFormat="1" applyFont="1" applyFill="1" applyBorder="1" applyAlignment="1" applyProtection="1">
      <alignment horizontal="center" vertical="top" wrapText="1"/>
      <protection hidden="1"/>
    </xf>
    <xf numFmtId="2" fontId="3" fillId="11" borderId="1" xfId="0" applyNumberFormat="1" applyFont="1" applyFill="1" applyBorder="1" applyAlignment="1" applyProtection="1">
      <alignment horizontal="center"/>
      <protection hidden="1"/>
    </xf>
    <xf numFmtId="167" fontId="3" fillId="11" borderId="1" xfId="0" applyNumberFormat="1" applyFont="1" applyFill="1" applyBorder="1" applyAlignment="1" applyProtection="1">
      <alignment horizontal="right" vertical="top"/>
      <protection hidden="1"/>
    </xf>
    <xf numFmtId="164" fontId="3" fillId="11" borderId="1" xfId="1" applyFont="1" applyFill="1" applyBorder="1" applyAlignment="1" applyProtection="1">
      <alignment horizontal="right" vertical="top"/>
      <protection hidden="1"/>
    </xf>
    <xf numFmtId="165" fontId="3" fillId="11" borderId="1" xfId="0" applyNumberFormat="1" applyFont="1" applyFill="1" applyBorder="1" applyAlignment="1" applyProtection="1">
      <alignment horizontal="right" vertical="top"/>
      <protection hidden="1"/>
    </xf>
    <xf numFmtId="166" fontId="5" fillId="11" borderId="1" xfId="0" applyNumberFormat="1" applyFont="1" applyFill="1" applyBorder="1" applyAlignment="1" applyProtection="1">
      <alignment horizontal="right" vertical="top" wrapText="1"/>
      <protection hidden="1"/>
    </xf>
    <xf numFmtId="2" fontId="3" fillId="11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1" fillId="30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4" fillId="38" borderId="2" xfId="0" applyFont="1" applyFill="1" applyBorder="1" applyAlignment="1" applyProtection="1">
      <alignment horizontal="left" vertical="top" wrapText="1"/>
      <protection hidden="1"/>
    </xf>
    <xf numFmtId="0" fontId="14" fillId="38" borderId="3" xfId="0" applyFont="1" applyFill="1" applyBorder="1" applyAlignment="1" applyProtection="1">
      <alignment horizontal="left" vertical="top" wrapText="1"/>
      <protection hidden="1"/>
    </xf>
    <xf numFmtId="167" fontId="3" fillId="11" borderId="1" xfId="0" applyNumberFormat="1" applyFont="1" applyFill="1" applyBorder="1" applyAlignment="1" applyProtection="1">
      <alignment horizontal="center" vertical="top"/>
      <protection hidden="1"/>
    </xf>
    <xf numFmtId="165" fontId="3" fillId="11" borderId="1" xfId="0" applyNumberFormat="1" applyFont="1" applyFill="1" applyBorder="1" applyAlignment="1" applyProtection="1">
      <alignment horizontal="center" vertical="top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14" fillId="0" borderId="2" xfId="0" applyFont="1" applyFill="1" applyBorder="1" applyAlignment="1" applyProtection="1">
      <alignment horizontal="lef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left" vertical="top"/>
      <protection hidden="1"/>
    </xf>
    <xf numFmtId="0" fontId="7" fillId="12" borderId="2" xfId="0" applyFont="1" applyFill="1" applyBorder="1" applyAlignment="1" applyProtection="1">
      <alignment horizontal="left" vertical="top"/>
      <protection hidden="1"/>
    </xf>
    <xf numFmtId="0" fontId="7" fillId="12" borderId="3" xfId="0" applyFont="1" applyFill="1" applyBorder="1" applyAlignment="1" applyProtection="1">
      <alignment horizontal="left" vertical="top"/>
      <protection hidden="1"/>
    </xf>
    <xf numFmtId="4" fontId="3" fillId="11" borderId="1" xfId="0" applyNumberFormat="1" applyFont="1" applyFill="1" applyBorder="1" applyAlignment="1" applyProtection="1">
      <alignment horizontal="center" vertical="top"/>
      <protection hidden="1"/>
    </xf>
    <xf numFmtId="0" fontId="7" fillId="0" borderId="9" xfId="0" applyFont="1" applyBorder="1" applyAlignment="1">
      <alignment horizontal="left"/>
    </xf>
    <xf numFmtId="0" fontId="7" fillId="0" borderId="0" xfId="0" applyFont="1" applyAlignment="1" applyProtection="1">
      <alignment horizontal="left"/>
      <protection hidden="1"/>
    </xf>
    <xf numFmtId="0" fontId="14" fillId="0" borderId="7" xfId="0" applyFont="1" applyFill="1" applyBorder="1" applyAlignment="1" applyProtection="1">
      <alignment horizontal="left" vertical="top" wrapText="1"/>
      <protection hidden="1"/>
    </xf>
    <xf numFmtId="3" fontId="3" fillId="11" borderId="1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 vertical="top" wrapText="1"/>
      <protection hidden="1"/>
    </xf>
    <xf numFmtId="4" fontId="3" fillId="0" borderId="0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/>
      <protection hidden="1"/>
    </xf>
    <xf numFmtId="0" fontId="14" fillId="0" borderId="1" xfId="0" applyFont="1" applyFill="1" applyBorder="1" applyAlignment="1" applyProtection="1">
      <alignment horizontal="center" vertical="top"/>
      <protection hidden="1"/>
    </xf>
    <xf numFmtId="0" fontId="14" fillId="0" borderId="9" xfId="0" applyFont="1" applyFill="1" applyBorder="1" applyAlignment="1" applyProtection="1">
      <alignment horizontal="left" vertical="top"/>
      <protection hidden="1"/>
    </xf>
    <xf numFmtId="0" fontId="7" fillId="0" borderId="7" xfId="0" applyFont="1" applyFill="1" applyBorder="1" applyAlignment="1" applyProtection="1">
      <alignment horizontal="center" vertical="top"/>
      <protection hidden="1"/>
    </xf>
    <xf numFmtId="0" fontId="7" fillId="0" borderId="2" xfId="0" applyFont="1" applyFill="1" applyBorder="1" applyAlignment="1" applyProtection="1">
      <alignment horizontal="center" vertical="top"/>
      <protection hidden="1"/>
    </xf>
    <xf numFmtId="0" fontId="7" fillId="0" borderId="3" xfId="0" applyFont="1" applyFill="1" applyBorder="1" applyAlignment="1" applyProtection="1">
      <alignment horizontal="center" vertical="top"/>
      <protection hidden="1"/>
    </xf>
    <xf numFmtId="4" fontId="7" fillId="0" borderId="7" xfId="0" applyNumberFormat="1" applyFont="1" applyFill="1" applyBorder="1" applyAlignment="1" applyProtection="1">
      <alignment horizontal="center" vertical="top"/>
      <protection hidden="1"/>
    </xf>
    <xf numFmtId="4" fontId="7" fillId="0" borderId="2" xfId="0" applyNumberFormat="1" applyFont="1" applyFill="1" applyBorder="1" applyAlignment="1" applyProtection="1">
      <alignment horizontal="center" vertical="top"/>
      <protection hidden="1"/>
    </xf>
    <xf numFmtId="4" fontId="7" fillId="0" borderId="3" xfId="0" applyNumberFormat="1" applyFont="1" applyFill="1" applyBorder="1" applyAlignment="1" applyProtection="1">
      <alignment horizontal="center" vertical="top"/>
      <protection hidden="1"/>
    </xf>
    <xf numFmtId="0" fontId="14" fillId="0" borderId="7" xfId="0" applyFont="1" applyFill="1" applyBorder="1" applyAlignment="1" applyProtection="1">
      <alignment horizontal="center" vertical="top"/>
      <protection hidden="1"/>
    </xf>
    <xf numFmtId="0" fontId="14" fillId="0" borderId="2" xfId="0" applyFont="1" applyFill="1" applyBorder="1" applyAlignment="1" applyProtection="1">
      <alignment horizontal="center" vertical="top"/>
      <protection hidden="1"/>
    </xf>
    <xf numFmtId="0" fontId="14" fillId="0" borderId="3" xfId="0" applyFont="1" applyFill="1" applyBorder="1" applyAlignment="1" applyProtection="1">
      <alignment horizontal="center" vertical="top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14" fillId="0" borderId="7" xfId="0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0" fontId="14" fillId="0" borderId="3" xfId="0" applyFont="1" applyFill="1" applyBorder="1" applyAlignment="1" applyProtection="1">
      <alignment horizontal="center" vertical="top" wrapText="1"/>
      <protection hidden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14" xfId="0" applyFont="1" applyBorder="1" applyAlignment="1" applyProtection="1">
      <alignment horizontal="left" wrapText="1"/>
      <protection hidden="1"/>
    </xf>
    <xf numFmtId="0" fontId="40" fillId="28" borderId="1" xfId="3" applyFont="1" applyFill="1" applyBorder="1" applyAlignment="1">
      <alignment horizontal="center"/>
    </xf>
    <xf numFmtId="0" fontId="35" fillId="4" borderId="16" xfId="3" applyFont="1" applyFill="1" applyBorder="1" applyAlignment="1">
      <alignment horizontal="center" wrapText="1"/>
    </xf>
    <xf numFmtId="0" fontId="35" fillId="4" borderId="23" xfId="3" applyFont="1" applyFill="1" applyBorder="1" applyAlignment="1">
      <alignment horizontal="center" wrapText="1"/>
    </xf>
    <xf numFmtId="0" fontId="35" fillId="4" borderId="29" xfId="3" applyFont="1" applyFill="1" applyBorder="1" applyAlignment="1">
      <alignment horizontal="center" wrapText="1"/>
    </xf>
    <xf numFmtId="2" fontId="35" fillId="4" borderId="16" xfId="4" applyNumberFormat="1" applyFont="1" applyFill="1" applyBorder="1" applyAlignment="1">
      <alignment horizontal="center" vertical="top" wrapText="1"/>
    </xf>
    <xf numFmtId="2" fontId="35" fillId="4" borderId="23" xfId="4" applyNumberFormat="1" applyFont="1" applyFill="1" applyBorder="1" applyAlignment="1">
      <alignment horizontal="center" vertical="top" wrapText="1"/>
    </xf>
    <xf numFmtId="2" fontId="35" fillId="4" borderId="29" xfId="4" applyNumberFormat="1" applyFont="1" applyFill="1" applyBorder="1" applyAlignment="1">
      <alignment horizontal="center" vertical="top" wrapText="1"/>
    </xf>
    <xf numFmtId="4" fontId="35" fillId="4" borderId="16" xfId="3" applyNumberFormat="1" applyFont="1" applyFill="1" applyBorder="1" applyAlignment="1">
      <alignment horizontal="center" vertical="top" wrapText="1"/>
    </xf>
    <xf numFmtId="0" fontId="35" fillId="4" borderId="23" xfId="3" applyFont="1" applyFill="1" applyBorder="1" applyAlignment="1">
      <alignment horizontal="center" vertical="top" wrapText="1"/>
    </xf>
    <xf numFmtId="0" fontId="35" fillId="4" borderId="29" xfId="3" applyFont="1" applyFill="1" applyBorder="1" applyAlignment="1">
      <alignment horizontal="center" vertical="top" wrapText="1"/>
    </xf>
    <xf numFmtId="0" fontId="35" fillId="4" borderId="17" xfId="3" applyFont="1" applyFill="1" applyBorder="1" applyAlignment="1">
      <alignment horizontal="center" wrapText="1"/>
    </xf>
    <xf numFmtId="0" fontId="14" fillId="0" borderId="25" xfId="3" applyFont="1" applyBorder="1" applyAlignment="1">
      <alignment vertical="center"/>
    </xf>
    <xf numFmtId="0" fontId="14" fillId="0" borderId="21" xfId="3" applyFont="1" applyBorder="1" applyAlignment="1">
      <alignment vertical="center"/>
    </xf>
    <xf numFmtId="0" fontId="35" fillId="4" borderId="26" xfId="3" applyFont="1" applyFill="1" applyBorder="1" applyAlignment="1">
      <alignment horizontal="center"/>
    </xf>
    <xf numFmtId="0" fontId="35" fillId="4" borderId="27" xfId="3" applyFont="1" applyFill="1" applyBorder="1" applyAlignment="1">
      <alignment horizontal="center"/>
    </xf>
    <xf numFmtId="0" fontId="35" fillId="4" borderId="28" xfId="3" applyFont="1" applyFill="1" applyBorder="1" applyAlignment="1">
      <alignment horizontal="center"/>
    </xf>
    <xf numFmtId="0" fontId="35" fillId="4" borderId="18" xfId="3" applyFont="1" applyFill="1" applyBorder="1" applyAlignment="1">
      <alignment horizontal="center"/>
    </xf>
    <xf numFmtId="0" fontId="35" fillId="4" borderId="19" xfId="3" applyFont="1" applyFill="1" applyBorder="1" applyAlignment="1">
      <alignment horizontal="center"/>
    </xf>
    <xf numFmtId="0" fontId="35" fillId="4" borderId="22" xfId="3" applyFont="1" applyFill="1" applyBorder="1" applyAlignment="1">
      <alignment horizontal="center"/>
    </xf>
    <xf numFmtId="2" fontId="24" fillId="0" borderId="25" xfId="3" applyNumberFormat="1" applyFont="1" applyBorder="1" applyAlignment="1">
      <alignment horizontal="center" vertical="top" wrapText="1"/>
    </xf>
    <xf numFmtId="0" fontId="24" fillId="0" borderId="21" xfId="3" applyFont="1" applyBorder="1" applyAlignment="1">
      <alignment horizontal="center" vertical="top" wrapText="1"/>
    </xf>
    <xf numFmtId="0" fontId="24" fillId="0" borderId="25" xfId="3" applyFont="1" applyBorder="1" applyAlignment="1">
      <alignment horizontal="center" vertical="top" wrapText="1"/>
    </xf>
    <xf numFmtId="2" fontId="14" fillId="0" borderId="25" xfId="3" applyNumberFormat="1" applyFont="1" applyBorder="1" applyAlignment="1">
      <alignment horizontal="center" vertical="center"/>
    </xf>
    <xf numFmtId="2" fontId="14" fillId="0" borderId="21" xfId="3" applyNumberFormat="1" applyFont="1" applyBorder="1" applyAlignment="1">
      <alignment horizontal="center" vertical="center"/>
    </xf>
    <xf numFmtId="0" fontId="81" fillId="0" borderId="0" xfId="3" applyFont="1" applyAlignment="1">
      <alignment horizontal="center"/>
    </xf>
    <xf numFmtId="0" fontId="82" fillId="0" borderId="0" xfId="3" applyFont="1" applyBorder="1" applyAlignment="1">
      <alignment horizontal="center"/>
    </xf>
    <xf numFmtId="0" fontId="7" fillId="16" borderId="16" xfId="3" applyFont="1" applyFill="1" applyBorder="1" applyAlignment="1">
      <alignment horizontal="center" vertical="center" wrapText="1"/>
    </xf>
    <xf numFmtId="0" fontId="34" fillId="16" borderId="17" xfId="3" applyFont="1" applyFill="1" applyBorder="1" applyAlignment="1">
      <alignment horizontal="center" vertical="center" wrapText="1"/>
    </xf>
    <xf numFmtId="0" fontId="34" fillId="16" borderId="17" xfId="3" applyFont="1" applyFill="1" applyBorder="1" applyAlignment="1">
      <alignment horizontal="center" vertical="center"/>
    </xf>
    <xf numFmtId="0" fontId="7" fillId="16" borderId="17" xfId="3" applyFont="1" applyFill="1" applyBorder="1" applyAlignment="1">
      <alignment horizontal="center"/>
    </xf>
    <xf numFmtId="0" fontId="7" fillId="16" borderId="17" xfId="3" applyFont="1" applyFill="1" applyBorder="1" applyAlignment="1">
      <alignment horizontal="center" vertical="center"/>
    </xf>
    <xf numFmtId="0" fontId="7" fillId="16" borderId="17" xfId="3" applyFont="1" applyFill="1" applyBorder="1" applyAlignment="1">
      <alignment horizontal="center" vertical="center" wrapText="1"/>
    </xf>
    <xf numFmtId="0" fontId="69" fillId="0" borderId="0" xfId="5" applyNumberFormat="1" applyFont="1" applyBorder="1" applyAlignment="1">
      <alignment horizontal="center" vertical="top"/>
    </xf>
    <xf numFmtId="0" fontId="66" fillId="12" borderId="6" xfId="5" applyFont="1" applyFill="1" applyBorder="1" applyAlignment="1">
      <alignment horizontal="center" vertical="center" wrapText="1"/>
    </xf>
    <xf numFmtId="0" fontId="66" fillId="12" borderId="4" xfId="5" applyFont="1" applyFill="1" applyBorder="1" applyAlignment="1">
      <alignment horizontal="center" vertical="center" wrapText="1"/>
    </xf>
    <xf numFmtId="0" fontId="66" fillId="12" borderId="5" xfId="5" applyFont="1" applyFill="1" applyBorder="1" applyAlignment="1">
      <alignment horizontal="center" vertical="center" wrapText="1"/>
    </xf>
    <xf numFmtId="0" fontId="66" fillId="12" borderId="1" xfId="5" applyFont="1" applyFill="1" applyBorder="1" applyAlignment="1">
      <alignment horizontal="center" vertical="center"/>
    </xf>
    <xf numFmtId="0" fontId="66" fillId="12" borderId="1" xfId="5" applyFont="1" applyFill="1" applyBorder="1" applyAlignment="1">
      <alignment horizontal="center" vertical="center" wrapText="1"/>
    </xf>
    <xf numFmtId="0" fontId="69" fillId="0" borderId="9" xfId="5" applyNumberFormat="1" applyFont="1" applyBorder="1" applyAlignment="1">
      <alignment horizontal="center" vertical="top"/>
    </xf>
    <xf numFmtId="0" fontId="66" fillId="0" borderId="9" xfId="5" applyNumberFormat="1" applyFont="1" applyBorder="1" applyAlignment="1">
      <alignment horizontal="center" vertical="top"/>
    </xf>
    <xf numFmtId="0" fontId="65" fillId="12" borderId="11" xfId="5" applyFont="1" applyFill="1" applyBorder="1" applyAlignment="1">
      <alignment horizontal="center" vertical="top" wrapText="1"/>
    </xf>
    <xf numFmtId="0" fontId="65" fillId="12" borderId="13" xfId="5" applyFont="1" applyFill="1" applyBorder="1" applyAlignment="1">
      <alignment horizontal="center" vertical="top" wrapText="1"/>
    </xf>
    <xf numFmtId="0" fontId="65" fillId="12" borderId="12" xfId="5" applyFont="1" applyFill="1" applyBorder="1" applyAlignment="1">
      <alignment horizontal="center" vertical="top" wrapText="1"/>
    </xf>
    <xf numFmtId="0" fontId="66" fillId="12" borderId="11" xfId="5" applyFont="1" applyFill="1" applyBorder="1" applyAlignment="1">
      <alignment horizontal="center" vertical="center"/>
    </xf>
    <xf numFmtId="0" fontId="66" fillId="12" borderId="13" xfId="5" applyFont="1" applyFill="1" applyBorder="1" applyAlignment="1">
      <alignment horizontal="center" vertical="center"/>
    </xf>
    <xf numFmtId="0" fontId="66" fillId="12" borderId="12" xfId="5" applyFont="1" applyFill="1" applyBorder="1" applyAlignment="1">
      <alignment horizontal="center" vertical="center"/>
    </xf>
    <xf numFmtId="0" fontId="65" fillId="12" borderId="6" xfId="5" applyFont="1" applyFill="1" applyBorder="1" applyAlignment="1">
      <alignment horizontal="center" vertical="top" wrapText="1"/>
    </xf>
    <xf numFmtId="0" fontId="65" fillId="12" borderId="5" xfId="5" applyFont="1" applyFill="1" applyBorder="1" applyAlignment="1">
      <alignment horizontal="center" vertical="top" wrapText="1"/>
    </xf>
    <xf numFmtId="0" fontId="65" fillId="0" borderId="0" xfId="5" applyFont="1" applyAlignment="1">
      <alignment horizontal="left" vertical="top" wrapText="1"/>
    </xf>
    <xf numFmtId="0" fontId="66" fillId="12" borderId="11" xfId="5" applyFont="1" applyFill="1" applyBorder="1" applyAlignment="1">
      <alignment horizontal="center" vertical="top" wrapText="1"/>
    </xf>
    <xf numFmtId="0" fontId="66" fillId="12" borderId="12" xfId="5" applyFont="1" applyFill="1" applyBorder="1" applyAlignment="1">
      <alignment horizontal="center" vertical="top" wrapText="1"/>
    </xf>
    <xf numFmtId="0" fontId="66" fillId="12" borderId="7" xfId="5" applyFont="1" applyFill="1" applyBorder="1" applyAlignment="1">
      <alignment horizontal="center" vertical="center"/>
    </xf>
    <xf numFmtId="0" fontId="66" fillId="12" borderId="2" xfId="5" applyFont="1" applyFill="1" applyBorder="1" applyAlignment="1">
      <alignment horizontal="center" vertical="center"/>
    </xf>
    <xf numFmtId="0" fontId="66" fillId="12" borderId="3" xfId="5" applyFont="1" applyFill="1" applyBorder="1" applyAlignment="1">
      <alignment horizontal="center" vertical="center"/>
    </xf>
    <xf numFmtId="49" fontId="65" fillId="0" borderId="0" xfId="5" applyNumberFormat="1" applyFont="1" applyAlignment="1">
      <alignment horizontal="left"/>
    </xf>
    <xf numFmtId="0" fontId="65" fillId="0" borderId="0" xfId="5" applyNumberFormat="1" applyFont="1" applyAlignment="1">
      <alignment horizontal="left" vertical="top" wrapText="1"/>
    </xf>
    <xf numFmtId="0" fontId="65" fillId="0" borderId="0" xfId="5" applyFont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63" fillId="8" borderId="16" xfId="0" applyFont="1" applyFill="1" applyBorder="1" applyAlignment="1">
      <alignment horizontal="center"/>
    </xf>
    <xf numFmtId="0" fontId="63" fillId="8" borderId="23" xfId="0" applyFont="1" applyFill="1" applyBorder="1" applyAlignment="1">
      <alignment horizontal="center"/>
    </xf>
    <xf numFmtId="0" fontId="63" fillId="8" borderId="29" xfId="0" applyFont="1" applyFill="1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0" fillId="28" borderId="7" xfId="3" applyFont="1" applyFill="1" applyBorder="1" applyAlignment="1">
      <alignment horizontal="center"/>
    </xf>
    <xf numFmtId="0" fontId="40" fillId="28" borderId="2" xfId="3" applyFont="1" applyFill="1" applyBorder="1" applyAlignment="1">
      <alignment horizontal="center"/>
    </xf>
    <xf numFmtId="0" fontId="40" fillId="28" borderId="3" xfId="3" applyFont="1" applyFill="1" applyBorder="1" applyAlignment="1">
      <alignment horizontal="center"/>
    </xf>
    <xf numFmtId="0" fontId="14" fillId="0" borderId="25" xfId="3" applyFont="1" applyBorder="1" applyAlignment="1">
      <alignment vertical="top" wrapText="1"/>
    </xf>
    <xf numFmtId="0" fontId="14" fillId="0" borderId="21" xfId="3" applyFont="1" applyBorder="1" applyAlignment="1">
      <alignment vertical="top" wrapText="1"/>
    </xf>
    <xf numFmtId="2" fontId="14" fillId="0" borderId="25" xfId="3" applyNumberFormat="1" applyFont="1" applyBorder="1" applyAlignment="1">
      <alignment vertical="top" wrapText="1"/>
    </xf>
    <xf numFmtId="2" fontId="14" fillId="0" borderId="21" xfId="3" applyNumberFormat="1" applyFont="1" applyBorder="1" applyAlignment="1">
      <alignment vertical="top" wrapText="1"/>
    </xf>
    <xf numFmtId="0" fontId="8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6" fillId="33" borderId="0" xfId="0" applyFont="1" applyFill="1" applyBorder="1" applyAlignment="1">
      <alignment horizontal="left" vertical="top" wrapText="1"/>
    </xf>
  </cellXfs>
  <cellStyles count="6">
    <cellStyle name="Comma 2" xfId="4"/>
    <cellStyle name="Normal 2" xfId="2"/>
    <cellStyle name="Normal 2 2" xfId="3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219075</xdr:rowOff>
    </xdr:from>
    <xdr:to>
      <xdr:col>1</xdr:col>
      <xdr:colOff>742950</xdr:colOff>
      <xdr:row>0</xdr:row>
      <xdr:rowOff>1323975</xdr:rowOff>
    </xdr:to>
    <xdr:sp macro="" textlink="">
      <xdr:nvSpPr>
        <xdr:cNvPr id="2" name="สี่เหลี่ยมผืนผ้า 1"/>
        <xdr:cNvSpPr/>
      </xdr:nvSpPr>
      <xdr:spPr>
        <a:xfrm>
          <a:off x="2171700" y="219075"/>
          <a:ext cx="990600" cy="1104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381000</xdr:colOff>
      <xdr:row>0</xdr:row>
      <xdr:rowOff>55563</xdr:rowOff>
    </xdr:from>
    <xdr:to>
      <xdr:col>1</xdr:col>
      <xdr:colOff>904875</xdr:colOff>
      <xdr:row>0</xdr:row>
      <xdr:rowOff>1277938</xdr:rowOff>
    </xdr:to>
    <xdr:sp macro="" textlink="">
      <xdr:nvSpPr>
        <xdr:cNvPr id="5" name="สี่เหลี่ยมผืนผ้า 4"/>
        <xdr:cNvSpPr/>
      </xdr:nvSpPr>
      <xdr:spPr>
        <a:xfrm>
          <a:off x="2436813" y="55563"/>
          <a:ext cx="1047750" cy="1222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>
              <a:noFill/>
            </a:ln>
            <a:noFill/>
          </a:endParaRPr>
        </a:p>
      </xdr:txBody>
    </xdr:sp>
    <xdr:clientData/>
  </xdr:twoCellAnchor>
  <xdr:twoCellAnchor editAs="oneCell">
    <xdr:from>
      <xdr:col>1</xdr:col>
      <xdr:colOff>227012</xdr:colOff>
      <xdr:row>0</xdr:row>
      <xdr:rowOff>55563</xdr:rowOff>
    </xdr:from>
    <xdr:to>
      <xdr:col>1</xdr:col>
      <xdr:colOff>1066800</xdr:colOff>
      <xdr:row>0</xdr:row>
      <xdr:rowOff>2867025</xdr:rowOff>
    </xdr:to>
    <xdr:pic>
      <xdr:nvPicPr>
        <xdr:cNvPr id="6" name="รูปภาพ 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5675" y="55563"/>
          <a:ext cx="1689100" cy="28114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104775</xdr:rowOff>
    </xdr:from>
    <xdr:to>
      <xdr:col>8</xdr:col>
      <xdr:colOff>400050</xdr:colOff>
      <xdr:row>2</xdr:row>
      <xdr:rowOff>142875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857250" y="104775"/>
          <a:ext cx="4419600" cy="5905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7</xdr:col>
      <xdr:colOff>533400</xdr:colOff>
      <xdr:row>1</xdr:row>
      <xdr:rowOff>38100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552700" y="0"/>
          <a:ext cx="2505075" cy="3333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228600</xdr:rowOff>
    </xdr:from>
    <xdr:to>
      <xdr:col>8</xdr:col>
      <xdr:colOff>57150</xdr:colOff>
      <xdr:row>2</xdr:row>
      <xdr:rowOff>85725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1724025" y="228600"/>
          <a:ext cx="3209925" cy="447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55edit21015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ำหนดการเข้าเยี่ยม(เปลี่ยนแปลง)"/>
      <sheetName val="สรุปตัวชี้วัด"/>
      <sheetName val="หน้าแรก"/>
      <sheetName val="1.1"/>
      <sheetName val="1-16.1"/>
      <sheetName val="1-16.2"/>
      <sheetName val="1-17"/>
      <sheetName val="2.1"/>
      <sheetName val="2.2"/>
      <sheetName val="2.3"/>
      <sheetName val="2.4"/>
      <sheetName val="2.5"/>
      <sheetName val="2.6"/>
      <sheetName val="2.7"/>
      <sheetName val="2.8"/>
      <sheetName val="2-1"/>
      <sheetName val="2-2"/>
      <sheetName val="2-3"/>
      <sheetName val="2-4"/>
      <sheetName val="2-14"/>
      <sheetName val="3.1"/>
      <sheetName val="3.2"/>
      <sheetName val="4.1"/>
      <sheetName val="4.2"/>
      <sheetName val="4.3"/>
      <sheetName val="4-5"/>
      <sheetName val="4-6"/>
      <sheetName val="4-7"/>
      <sheetName val="5.1"/>
      <sheetName val="5.2"/>
      <sheetName val="5.8"/>
      <sheetName val="5-9"/>
      <sheetName val="5-18.1"/>
      <sheetName val="5-18.2"/>
      <sheetName val="6.1"/>
      <sheetName val="6-10"/>
      <sheetName val="6-11"/>
      <sheetName val="7.1"/>
      <sheetName val="7.2"/>
      <sheetName val="7.3"/>
      <sheetName val="7.4"/>
      <sheetName val="7-12"/>
      <sheetName val="7-13"/>
      <sheetName val="8.1"/>
      <sheetName val="9.1"/>
      <sheetName val="9-15"/>
      <sheetName val="10-1"/>
      <sheetName val="ส.1"/>
      <sheetName val="จุดเด่น-พัฒนา-แนวทางการแก้ไข"/>
      <sheetName val="Sheet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S8" t="str">
            <v>ข้อ2</v>
          </cell>
          <cell r="T8" t="str">
            <v>ข้อ3</v>
          </cell>
          <cell r="U8" t="str">
            <v>ข้อ4</v>
          </cell>
          <cell r="V8" t="str">
            <v>ข้อ5</v>
          </cell>
          <cell r="W8" t="str">
            <v>ข้อ6</v>
          </cell>
          <cell r="X8" t="str">
            <v>ข้อ7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17"/>
  <sheetViews>
    <sheetView workbookViewId="0">
      <selection activeCell="H6" sqref="H6"/>
    </sheetView>
  </sheetViews>
  <sheetFormatPr defaultRowHeight="15"/>
  <cols>
    <col min="1" max="1" width="9.140625" style="265"/>
    <col min="2" max="2" width="39.5703125" style="265" customWidth="1"/>
    <col min="3" max="3" width="17.140625" style="265" customWidth="1"/>
    <col min="4" max="4" width="16.28515625" style="265" customWidth="1"/>
    <col min="5" max="5" width="17" style="265" customWidth="1"/>
    <col min="6" max="16384" width="9.140625" style="265"/>
  </cols>
  <sheetData>
    <row r="2" spans="1:6" ht="23.25">
      <c r="A2" s="677" t="s">
        <v>519</v>
      </c>
      <c r="B2" s="677"/>
      <c r="C2" s="677"/>
      <c r="D2" s="677"/>
      <c r="E2" s="677"/>
      <c r="F2" s="677"/>
    </row>
    <row r="3" spans="1:6" ht="23.25">
      <c r="A3" s="677" t="s">
        <v>496</v>
      </c>
      <c r="B3" s="677"/>
      <c r="C3" s="677"/>
      <c r="D3" s="677"/>
      <c r="E3" s="677"/>
      <c r="F3" s="677"/>
    </row>
    <row r="4" spans="1:6" ht="23.25">
      <c r="A4" s="677" t="s">
        <v>130</v>
      </c>
      <c r="B4" s="677"/>
      <c r="C4" s="677"/>
      <c r="D4" s="677"/>
      <c r="E4" s="677"/>
      <c r="F4" s="677"/>
    </row>
    <row r="5" spans="1:6" ht="23.25">
      <c r="A5" s="678" t="s">
        <v>497</v>
      </c>
      <c r="B5" s="678" t="s">
        <v>498</v>
      </c>
      <c r="C5" s="678" t="s">
        <v>499</v>
      </c>
      <c r="D5" s="680" t="s">
        <v>500</v>
      </c>
      <c r="E5" s="681"/>
    </row>
    <row r="6" spans="1:6" ht="24" thickBot="1">
      <c r="A6" s="679"/>
      <c r="B6" s="679"/>
      <c r="C6" s="679"/>
      <c r="D6" s="400" t="s">
        <v>501</v>
      </c>
      <c r="E6" s="400" t="s">
        <v>502</v>
      </c>
    </row>
    <row r="7" spans="1:6" ht="24.95" customHeight="1" thickBot="1">
      <c r="A7" s="399">
        <v>1</v>
      </c>
      <c r="B7" s="401" t="s">
        <v>67</v>
      </c>
      <c r="C7" s="399" t="s">
        <v>503</v>
      </c>
      <c r="D7" s="403" t="s">
        <v>505</v>
      </c>
      <c r="E7" s="404" t="s">
        <v>504</v>
      </c>
    </row>
    <row r="8" spans="1:6" ht="24.95" customHeight="1" thickBot="1">
      <c r="A8" s="406">
        <v>2</v>
      </c>
      <c r="B8" s="407" t="s">
        <v>66</v>
      </c>
      <c r="C8" s="406" t="s">
        <v>503</v>
      </c>
      <c r="D8" s="408" t="s">
        <v>506</v>
      </c>
      <c r="E8" s="409" t="s">
        <v>504</v>
      </c>
    </row>
    <row r="9" spans="1:6" ht="24.95" customHeight="1" thickBot="1">
      <c r="A9" s="399">
        <v>3</v>
      </c>
      <c r="B9" s="402" t="s">
        <v>134</v>
      </c>
      <c r="C9" s="399" t="s">
        <v>503</v>
      </c>
      <c r="D9" s="403" t="s">
        <v>507</v>
      </c>
      <c r="E9" s="404" t="s">
        <v>514</v>
      </c>
    </row>
    <row r="10" spans="1:6" ht="24.95" customHeight="1" thickBot="1">
      <c r="A10" s="406">
        <v>4</v>
      </c>
      <c r="B10" s="407" t="s">
        <v>135</v>
      </c>
      <c r="C10" s="406" t="s">
        <v>503</v>
      </c>
      <c r="D10" s="408" t="s">
        <v>508</v>
      </c>
      <c r="E10" s="409" t="s">
        <v>515</v>
      </c>
    </row>
    <row r="11" spans="1:6" ht="24.95" customHeight="1" thickBot="1">
      <c r="A11" s="399">
        <v>5</v>
      </c>
      <c r="B11" s="402" t="s">
        <v>494</v>
      </c>
      <c r="C11" s="399" t="s">
        <v>503</v>
      </c>
      <c r="D11" s="403" t="s">
        <v>509</v>
      </c>
      <c r="E11" s="404" t="s">
        <v>515</v>
      </c>
    </row>
    <row r="12" spans="1:6" ht="24.95" customHeight="1" thickBot="1">
      <c r="A12" s="406">
        <v>6</v>
      </c>
      <c r="B12" s="407" t="s">
        <v>131</v>
      </c>
      <c r="C12" s="406" t="s">
        <v>503</v>
      </c>
      <c r="D12" s="408" t="s">
        <v>510</v>
      </c>
      <c r="E12" s="409" t="s">
        <v>515</v>
      </c>
    </row>
    <row r="13" spans="1:6" ht="24.95" customHeight="1" thickBot="1">
      <c r="A13" s="399">
        <v>7</v>
      </c>
      <c r="B13" s="402" t="s">
        <v>493</v>
      </c>
      <c r="C13" s="399" t="s">
        <v>503</v>
      </c>
      <c r="D13" s="403" t="s">
        <v>511</v>
      </c>
      <c r="E13" s="404" t="s">
        <v>515</v>
      </c>
    </row>
    <row r="14" spans="1:6" ht="24.95" customHeight="1" thickBot="1">
      <c r="A14" s="406">
        <v>8</v>
      </c>
      <c r="B14" s="407" t="s">
        <v>132</v>
      </c>
      <c r="C14" s="406" t="s">
        <v>503</v>
      </c>
      <c r="D14" s="410" t="s">
        <v>513</v>
      </c>
      <c r="E14" s="409" t="s">
        <v>516</v>
      </c>
    </row>
    <row r="15" spans="1:6" ht="24.95" customHeight="1" thickBot="1">
      <c r="A15" s="399">
        <v>9</v>
      </c>
      <c r="B15" s="402" t="s">
        <v>133</v>
      </c>
      <c r="C15" s="399" t="s">
        <v>503</v>
      </c>
      <c r="D15" s="411" t="s">
        <v>512</v>
      </c>
      <c r="E15" s="404" t="s">
        <v>516</v>
      </c>
    </row>
    <row r="17" spans="2:2" ht="20.25">
      <c r="B17" s="405" t="s">
        <v>517</v>
      </c>
    </row>
  </sheetData>
  <mergeCells count="7">
    <mergeCell ref="A2:F2"/>
    <mergeCell ref="A3:F3"/>
    <mergeCell ref="A4:F4"/>
    <mergeCell ref="A5:A6"/>
    <mergeCell ref="B5:B6"/>
    <mergeCell ref="C5:C6"/>
    <mergeCell ref="D5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T35"/>
  <sheetViews>
    <sheetView view="pageBreakPreview" zoomScale="112" zoomScaleNormal="110" zoomScaleSheetLayoutView="112" workbookViewId="0">
      <selection activeCell="A28" sqref="A28:XFD31"/>
    </sheetView>
  </sheetViews>
  <sheetFormatPr defaultRowHeight="12.75"/>
  <cols>
    <col min="1" max="1" width="3.140625" customWidth="1"/>
    <col min="2" max="2" width="4.28515625" customWidth="1"/>
    <col min="3" max="3" width="41" customWidth="1"/>
    <col min="4" max="4" width="8.85546875" customWidth="1"/>
    <col min="5" max="5" width="8.28515625" customWidth="1"/>
    <col min="6" max="6" width="8.42578125" customWidth="1"/>
    <col min="7" max="7" width="8.28515625" customWidth="1"/>
    <col min="8" max="8" width="9.42578125" bestFit="1" customWidth="1"/>
    <col min="9" max="18" width="9.140625" hidden="1" customWidth="1"/>
    <col min="19" max="19" width="16.85546875" customWidth="1"/>
    <col min="20" max="20" width="13.28515625" customWidth="1"/>
  </cols>
  <sheetData>
    <row r="1" spans="1:20" s="78" customFormat="1" ht="26.25">
      <c r="A1" s="728" t="s">
        <v>928</v>
      </c>
      <c r="B1" s="728"/>
      <c r="C1" s="728"/>
      <c r="D1" s="728"/>
      <c r="E1" s="728"/>
      <c r="F1" s="728"/>
      <c r="G1" s="728"/>
      <c r="H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20" ht="23.25">
      <c r="A6" s="102" t="s">
        <v>83</v>
      </c>
      <c r="B6" s="14"/>
      <c r="C6" s="14"/>
      <c r="D6" s="13"/>
      <c r="E6" s="13"/>
      <c r="F6" s="13"/>
      <c r="G6" s="741" t="s">
        <v>61</v>
      </c>
      <c r="H6" s="741"/>
      <c r="L6" s="82" t="s">
        <v>62</v>
      </c>
    </row>
    <row r="7" spans="1:20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20" ht="23.25">
      <c r="A8" s="727" t="s">
        <v>160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20" ht="7.5" customHeight="1">
      <c r="A9" s="15"/>
      <c r="B9" s="13"/>
      <c r="C9" s="13"/>
      <c r="D9" s="13"/>
      <c r="E9" s="13"/>
      <c r="F9" s="13"/>
      <c r="G9" s="13"/>
      <c r="H9" s="13"/>
    </row>
    <row r="10" spans="1:20" ht="43.5">
      <c r="A10" s="747" t="s">
        <v>6</v>
      </c>
      <c r="B10" s="748"/>
      <c r="C10" s="748"/>
      <c r="D10" s="749"/>
      <c r="E10" s="18" t="s">
        <v>8</v>
      </c>
      <c r="F10" s="750" t="s">
        <v>929</v>
      </c>
      <c r="G10" s="751"/>
      <c r="H10" s="19" t="s">
        <v>7</v>
      </c>
      <c r="S10" s="490" t="s">
        <v>605</v>
      </c>
      <c r="T10" s="487" t="s">
        <v>7</v>
      </c>
    </row>
    <row r="11" spans="1:20" ht="21.75">
      <c r="A11" s="20">
        <v>1</v>
      </c>
      <c r="B11" s="743" t="s">
        <v>127</v>
      </c>
      <c r="C11" s="743"/>
      <c r="D11" s="743"/>
      <c r="E11" s="46" t="s">
        <v>3</v>
      </c>
      <c r="F11" s="752" t="e">
        <f>G24*100/G23</f>
        <v>#DIV/0!</v>
      </c>
      <c r="G11" s="752"/>
      <c r="H11" s="753" t="e">
        <f>IF(G6&lt;&gt;"ประเมิน",G6,F14)</f>
        <v>#DIV/0!</v>
      </c>
      <c r="S11" s="491" t="e">
        <f>H24*100/H23</f>
        <v>#DIV/0!</v>
      </c>
      <c r="T11" s="756" t="e">
        <f>IF(G6&lt;&gt;"ประเมิน",G6,S14)</f>
        <v>#DIV/0!</v>
      </c>
    </row>
    <row r="12" spans="1:20" ht="21.75">
      <c r="A12" s="20">
        <v>2</v>
      </c>
      <c r="B12" s="743" t="s">
        <v>42</v>
      </c>
      <c r="C12" s="743"/>
      <c r="D12" s="743"/>
      <c r="E12" s="46" t="s">
        <v>3</v>
      </c>
      <c r="F12" s="744">
        <f>G24</f>
        <v>0</v>
      </c>
      <c r="G12" s="744"/>
      <c r="H12" s="753"/>
      <c r="S12" s="488">
        <f>H24</f>
        <v>0</v>
      </c>
      <c r="T12" s="757"/>
    </row>
    <row r="13" spans="1:20" ht="42" customHeight="1">
      <c r="A13" s="20">
        <v>3</v>
      </c>
      <c r="B13" s="743" t="s">
        <v>47</v>
      </c>
      <c r="C13" s="743"/>
      <c r="D13" s="743"/>
      <c r="E13" s="46" t="s">
        <v>41</v>
      </c>
      <c r="F13" s="760">
        <f>G25</f>
        <v>0</v>
      </c>
      <c r="G13" s="760"/>
      <c r="H13" s="753"/>
      <c r="S13" s="489">
        <f>H25</f>
        <v>0</v>
      </c>
      <c r="T13" s="757"/>
    </row>
    <row r="14" spans="1:20" ht="21.75">
      <c r="A14" s="20">
        <v>4</v>
      </c>
      <c r="B14" s="743" t="s">
        <v>48</v>
      </c>
      <c r="C14" s="743"/>
      <c r="D14" s="743"/>
      <c r="E14" s="153" t="s">
        <v>39</v>
      </c>
      <c r="F14" s="742" t="e">
        <f>+IF(G6&lt;&gt;"ประเมิน",G6,ROUND(F13/F12,2))</f>
        <v>#DIV/0!</v>
      </c>
      <c r="G14" s="742"/>
      <c r="H14" s="753"/>
      <c r="S14" s="486" t="e">
        <f>+IF(G6&lt;&gt;"ประเมิน",G6,ROUND(S13/S12,2))</f>
        <v>#DIV/0!</v>
      </c>
      <c r="T14" s="758"/>
    </row>
    <row r="15" spans="1:20" ht="21.75">
      <c r="B15" s="130"/>
      <c r="C15" s="130"/>
      <c r="D15" s="130"/>
      <c r="E15" s="108"/>
      <c r="F15" s="754"/>
      <c r="G15" s="754"/>
      <c r="H15" s="754"/>
    </row>
    <row r="16" spans="1:20" ht="21.75">
      <c r="B16" s="40"/>
      <c r="C16" s="761"/>
      <c r="D16" s="761"/>
      <c r="E16" s="761"/>
      <c r="F16" s="746"/>
      <c r="G16" s="746"/>
      <c r="H16" s="746"/>
    </row>
    <row r="17" spans="1:10" ht="21.75">
      <c r="A17" s="40"/>
      <c r="B17" s="40"/>
      <c r="C17" s="761"/>
      <c r="D17" s="761"/>
      <c r="E17" s="761"/>
      <c r="F17" s="746"/>
      <c r="G17" s="746"/>
      <c r="H17" s="746"/>
    </row>
    <row r="18" spans="1:10" ht="21.75">
      <c r="A18" s="15"/>
      <c r="B18" s="14"/>
      <c r="C18" s="14"/>
      <c r="D18" s="13"/>
      <c r="E18" s="13"/>
      <c r="F18" s="13"/>
      <c r="G18" s="13"/>
      <c r="H18" s="13"/>
    </row>
    <row r="19" spans="1:10" ht="23.25">
      <c r="A19" s="727" t="s">
        <v>77</v>
      </c>
      <c r="B19" s="727"/>
      <c r="C19" s="727"/>
      <c r="D19" s="727"/>
      <c r="E19" s="727"/>
      <c r="F19" s="727"/>
      <c r="G19" s="727"/>
      <c r="H19" s="13"/>
    </row>
    <row r="20" spans="1:10" ht="9" customHeight="1">
      <c r="A20" s="14"/>
      <c r="B20" s="14"/>
      <c r="C20" s="13"/>
      <c r="D20" s="13"/>
      <c r="E20" s="13"/>
      <c r="F20" s="13"/>
      <c r="G20" s="13"/>
      <c r="H20" s="13"/>
    </row>
    <row r="21" spans="1:10" ht="21.75">
      <c r="A21" s="745" t="s">
        <v>4</v>
      </c>
      <c r="B21" s="745"/>
      <c r="C21" s="745"/>
      <c r="D21" s="745" t="s">
        <v>2</v>
      </c>
      <c r="E21" s="759" t="s">
        <v>0</v>
      </c>
      <c r="F21" s="759"/>
      <c r="G21" s="759"/>
      <c r="H21" s="759"/>
    </row>
    <row r="22" spans="1:10" ht="21.75">
      <c r="A22" s="745"/>
      <c r="B22" s="745"/>
      <c r="C22" s="745"/>
      <c r="D22" s="745"/>
      <c r="E22" s="119">
        <v>2554</v>
      </c>
      <c r="F22" s="119">
        <v>2555</v>
      </c>
      <c r="G22" s="119">
        <v>2556</v>
      </c>
      <c r="H22" s="30" t="s">
        <v>1</v>
      </c>
    </row>
    <row r="23" spans="1:10" ht="21.75">
      <c r="A23" s="20">
        <v>1</v>
      </c>
      <c r="B23" s="736" t="s">
        <v>45</v>
      </c>
      <c r="C23" s="737"/>
      <c r="D23" s="28" t="s">
        <v>3</v>
      </c>
      <c r="E23" s="113"/>
      <c r="F23" s="113"/>
      <c r="G23" s="113"/>
      <c r="H23" s="239">
        <f>SUM(E23:G23)</f>
        <v>0</v>
      </c>
    </row>
    <row r="24" spans="1:10" ht="21.75">
      <c r="A24" s="20">
        <v>2</v>
      </c>
      <c r="B24" s="736" t="s">
        <v>43</v>
      </c>
      <c r="C24" s="737"/>
      <c r="D24" s="28" t="s">
        <v>3</v>
      </c>
      <c r="E24" s="113"/>
      <c r="F24" s="113"/>
      <c r="G24" s="113"/>
      <c r="H24" s="239">
        <f>SUM(E24:G24)</f>
        <v>0</v>
      </c>
    </row>
    <row r="25" spans="1:10" ht="21.75">
      <c r="A25" s="23">
        <v>3</v>
      </c>
      <c r="B25" s="738" t="s">
        <v>44</v>
      </c>
      <c r="C25" s="739"/>
      <c r="D25" s="28" t="s">
        <v>41</v>
      </c>
      <c r="E25" s="136"/>
      <c r="F25" s="136"/>
      <c r="G25" s="137"/>
      <c r="H25" s="236">
        <f>SUM(E25:G25)</f>
        <v>0</v>
      </c>
      <c r="J25" s="12"/>
    </row>
    <row r="26" spans="1:10" ht="20.25" customHeight="1">
      <c r="A26" s="165">
        <v>4</v>
      </c>
      <c r="B26" s="736" t="s">
        <v>48</v>
      </c>
      <c r="C26" s="737"/>
      <c r="D26" s="164" t="s">
        <v>41</v>
      </c>
      <c r="E26" s="250" t="e">
        <f>E25/E24</f>
        <v>#DIV/0!</v>
      </c>
      <c r="F26" s="250" t="e">
        <f>F25/F24</f>
        <v>#DIV/0!</v>
      </c>
      <c r="G26" s="250" t="e">
        <f>G25/G24</f>
        <v>#DIV/0!</v>
      </c>
      <c r="H26" s="240" t="e">
        <f>H25/H24</f>
        <v>#DIV/0!</v>
      </c>
    </row>
    <row r="27" spans="1:10" ht="21.75">
      <c r="A27" s="35"/>
      <c r="B27" s="36"/>
      <c r="C27" s="36"/>
      <c r="D27" s="37"/>
      <c r="E27" s="38"/>
      <c r="F27" s="38"/>
      <c r="G27" s="38"/>
      <c r="H27" s="39"/>
    </row>
    <row r="28" spans="1:10" ht="21.75">
      <c r="A28" s="740" t="s">
        <v>951</v>
      </c>
      <c r="B28" s="740"/>
      <c r="C28" s="740"/>
      <c r="D28" s="37"/>
      <c r="E28" s="38"/>
      <c r="F28" s="38"/>
      <c r="G28" s="38"/>
      <c r="H28" s="39"/>
    </row>
    <row r="29" spans="1:10" ht="18" customHeight="1">
      <c r="A29" s="40"/>
      <c r="B29" s="42"/>
      <c r="C29" s="755">
        <v>1</v>
      </c>
      <c r="D29" s="755"/>
      <c r="E29" s="755"/>
      <c r="F29" s="755"/>
      <c r="G29" s="755"/>
      <c r="H29" s="755"/>
    </row>
    <row r="30" spans="1:10" ht="21.75">
      <c r="A30" s="35"/>
      <c r="B30" s="41"/>
      <c r="C30" s="755">
        <v>2</v>
      </c>
      <c r="D30" s="755"/>
      <c r="E30" s="755"/>
      <c r="F30" s="755"/>
      <c r="G30" s="755"/>
      <c r="H30" s="755"/>
    </row>
    <row r="31" spans="1:10" ht="21.75">
      <c r="A31" s="35"/>
      <c r="B31" s="41"/>
      <c r="C31" s="755">
        <v>3</v>
      </c>
      <c r="D31" s="755"/>
      <c r="E31" s="755"/>
      <c r="F31" s="755"/>
      <c r="G31" s="755"/>
      <c r="H31" s="755"/>
    </row>
    <row r="32" spans="1:10" ht="21.75">
      <c r="A32" s="35"/>
      <c r="B32" s="41"/>
      <c r="C32" s="42"/>
      <c r="D32" s="37"/>
      <c r="E32" s="38"/>
      <c r="F32" s="38"/>
      <c r="G32" s="38"/>
      <c r="H32" s="39"/>
    </row>
    <row r="33" spans="1:8" ht="21.75">
      <c r="A33" s="35"/>
      <c r="B33" s="41"/>
      <c r="C33" s="42"/>
      <c r="D33" s="37"/>
      <c r="E33" s="38"/>
      <c r="F33" s="38"/>
      <c r="G33" s="38"/>
      <c r="H33" s="39"/>
    </row>
    <row r="34" spans="1:8" ht="21.75">
      <c r="A34" s="43"/>
      <c r="B34" s="44"/>
      <c r="C34" s="44"/>
      <c r="D34" s="32"/>
      <c r="E34" s="45"/>
      <c r="F34" s="45"/>
      <c r="G34" s="45"/>
      <c r="H34" s="45"/>
    </row>
    <row r="35" spans="1:8" ht="21.75">
      <c r="A35" s="2"/>
      <c r="B35" s="2"/>
      <c r="C35" s="1"/>
      <c r="D35" s="1"/>
      <c r="E35" s="1"/>
      <c r="F35" s="1"/>
      <c r="G35" s="1"/>
      <c r="H35" s="1"/>
    </row>
  </sheetData>
  <mergeCells count="35">
    <mergeCell ref="C30:H30"/>
    <mergeCell ref="C29:H29"/>
    <mergeCell ref="C31:H31"/>
    <mergeCell ref="T11:T14"/>
    <mergeCell ref="A1:H1"/>
    <mergeCell ref="A2:H2"/>
    <mergeCell ref="A3:H3"/>
    <mergeCell ref="A4:H4"/>
    <mergeCell ref="E21:H21"/>
    <mergeCell ref="D21:D22"/>
    <mergeCell ref="B13:D13"/>
    <mergeCell ref="F13:G13"/>
    <mergeCell ref="B14:D14"/>
    <mergeCell ref="A19:G19"/>
    <mergeCell ref="C16:E16"/>
    <mergeCell ref="C17:E17"/>
    <mergeCell ref="G6:H6"/>
    <mergeCell ref="F14:G14"/>
    <mergeCell ref="B12:D12"/>
    <mergeCell ref="F12:G12"/>
    <mergeCell ref="A21:C22"/>
    <mergeCell ref="F16:H16"/>
    <mergeCell ref="F17:H17"/>
    <mergeCell ref="A10:D10"/>
    <mergeCell ref="F10:G10"/>
    <mergeCell ref="A8:G8"/>
    <mergeCell ref="B11:D11"/>
    <mergeCell ref="F11:G11"/>
    <mergeCell ref="H11:H14"/>
    <mergeCell ref="F15:H15"/>
    <mergeCell ref="B23:C23"/>
    <mergeCell ref="B24:C24"/>
    <mergeCell ref="B25:C25"/>
    <mergeCell ref="B26:C26"/>
    <mergeCell ref="A28:C28"/>
  </mergeCells>
  <phoneticPr fontId="2" type="noConversion"/>
  <dataValidations count="3">
    <dataValidation type="list" errorStyle="information" allowBlank="1" showInputMessage="1" showErrorMessage="1" prompt="กรุณาเลือก" sqref="G6:H6">
      <formula1>$L$5:$L$8</formula1>
    </dataValidation>
    <dataValidation allowBlank="1" showInputMessage="1" showErrorMessage="1" prompt="กรุณาใส่ผลการดำเนินงานตามรายงานของหน่วยงาน" sqref="F16"/>
    <dataValidation allowBlank="1" showInputMessage="1" showErrorMessage="1" prompt="กรุณาใส่คะแนนตามที่หน่วยงานรายงาน_x000a_" sqref="F17"/>
  </dataValidations>
  <pageMargins left="0.5" right="0.5" top="1" bottom="1" header="0.5" footer="0.5"/>
  <pageSetup paperSize="9" scale="98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7"/>
  <sheetViews>
    <sheetView view="pageBreakPreview" zoomScaleNormal="120" zoomScaleSheetLayoutView="100" workbookViewId="0">
      <selection activeCell="Z14" sqref="Y14:Z14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9" style="145" customWidth="1"/>
    <col min="6" max="6" width="37.57031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.140625" style="78" customWidth="1"/>
    <col min="21" max="21" width="5" style="78" customWidth="1"/>
    <col min="22" max="22" width="4.85546875" style="78" customWidth="1"/>
    <col min="23" max="23" width="4.5703125" style="78" customWidth="1"/>
    <col min="24" max="24" width="4" style="78" customWidth="1"/>
    <col min="25" max="25" width="3" style="78" customWidth="1"/>
    <col min="26" max="26" width="4" style="78" customWidth="1"/>
    <col min="27" max="27" width="2.85546875" style="78" customWidth="1"/>
    <col min="28" max="28" width="4.7109375" style="78" customWidth="1"/>
    <col min="29" max="30" width="9.140625" style="78" customWidth="1"/>
    <col min="31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48" customHeight="1">
      <c r="A6" s="762" t="s">
        <v>155</v>
      </c>
      <c r="B6" s="762"/>
      <c r="C6" s="762"/>
      <c r="D6" s="762"/>
      <c r="E6" s="762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7" t="s">
        <v>219</v>
      </c>
      <c r="U8" s="207" t="s">
        <v>220</v>
      </c>
      <c r="V8" s="207" t="s">
        <v>221</v>
      </c>
      <c r="W8" s="207" t="s">
        <v>222</v>
      </c>
      <c r="X8" s="207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208"/>
      <c r="U9" s="209"/>
      <c r="V9" s="209"/>
      <c r="W9" s="209"/>
      <c r="X9" s="210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9" s="87" customFormat="1" ht="165" customHeight="1">
      <c r="A16" s="100"/>
      <c r="B16" s="31" t="str">
        <f t="shared" ref="B16:B24" si="0">IF(G16="มีการดำเนินการ",$J$1, IF(A16=0,$J$2,$A$5))</f>
        <v>¨</v>
      </c>
      <c r="C16" s="86" t="s">
        <v>156</v>
      </c>
      <c r="D16" s="732"/>
      <c r="E16" s="732"/>
      <c r="F16" s="441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151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1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157</v>
      </c>
      <c r="D22" s="733"/>
      <c r="E22" s="734"/>
      <c r="F22" s="397"/>
      <c r="G22" s="378" t="s">
        <v>32</v>
      </c>
    </row>
    <row r="23" spans="1:7" s="87" customFormat="1" ht="141.75" customHeight="1">
      <c r="A23" s="100"/>
      <c r="B23" s="31" t="str">
        <f t="shared" si="0"/>
        <v>¨</v>
      </c>
      <c r="C23" s="86" t="s">
        <v>158</v>
      </c>
      <c r="D23" s="733"/>
      <c r="E23" s="734"/>
      <c r="F23" s="397"/>
      <c r="G23" s="378" t="s">
        <v>32</v>
      </c>
    </row>
    <row r="24" spans="1:7" s="87" customFormat="1" ht="156" customHeight="1">
      <c r="A24" s="100"/>
      <c r="B24" s="31" t="str">
        <f t="shared" si="0"/>
        <v>¨</v>
      </c>
      <c r="C24" s="86" t="s">
        <v>159</v>
      </c>
      <c r="D24" s="733"/>
      <c r="E24" s="734"/>
      <c r="F24" s="397"/>
      <c r="G24" s="378" t="s">
        <v>32</v>
      </c>
    </row>
    <row r="25" spans="1:7" s="87" customFormat="1" hidden="1">
      <c r="A25" s="100"/>
      <c r="B25" s="31"/>
      <c r="C25" s="86"/>
      <c r="D25" s="733"/>
      <c r="E25" s="734"/>
      <c r="G25" s="93"/>
    </row>
    <row r="26" spans="1:7" s="87" customFormat="1" hidden="1">
      <c r="A26" s="100"/>
      <c r="B26" s="31"/>
      <c r="C26" s="86"/>
      <c r="D26" s="733"/>
      <c r="E26" s="734"/>
      <c r="G26" s="93"/>
    </row>
    <row r="27" spans="1:7" s="87" customFormat="1" hidden="1">
      <c r="A27" s="100"/>
      <c r="B27" s="31"/>
      <c r="C27" s="86"/>
      <c r="D27" s="733"/>
      <c r="E27" s="734"/>
      <c r="G27" s="93"/>
    </row>
  </sheetData>
  <mergeCells count="20">
    <mergeCell ref="D27:E27"/>
    <mergeCell ref="A6:E6"/>
    <mergeCell ref="D21:E21"/>
    <mergeCell ref="D22:E22"/>
    <mergeCell ref="D23:E23"/>
    <mergeCell ref="D24:E24"/>
    <mergeCell ref="D25:E25"/>
    <mergeCell ref="D26:E26"/>
    <mergeCell ref="E11:F11"/>
    <mergeCell ref="A13:G13"/>
    <mergeCell ref="D15:E15"/>
    <mergeCell ref="D16:E16"/>
    <mergeCell ref="D17:E17"/>
    <mergeCell ref="A19:G19"/>
    <mergeCell ref="E10:F10"/>
    <mergeCell ref="A1:G1"/>
    <mergeCell ref="A2:G2"/>
    <mergeCell ref="A3:G3"/>
    <mergeCell ref="A4:G4"/>
    <mergeCell ref="A8:G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7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2" max="6" man="1"/>
    <brk id="1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0"/>
  <sheetViews>
    <sheetView view="pageBreakPreview" zoomScale="90" zoomScaleNormal="120" zoomScaleSheetLayoutView="90" workbookViewId="0">
      <selection activeCell="S15" sqref="S15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43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4.28515625" style="78" customWidth="1"/>
    <col min="21" max="21" width="4" style="78" customWidth="1"/>
    <col min="22" max="22" width="5.140625" style="78" customWidth="1"/>
    <col min="23" max="23" width="4.85546875" style="78" customWidth="1"/>
    <col min="24" max="24" width="4.42578125" style="78" customWidth="1"/>
    <col min="25" max="25" width="3.85546875" style="78" customWidth="1"/>
    <col min="26" max="26" width="4.5703125" style="78" customWidth="1"/>
    <col min="27" max="27" width="2.28515625" style="78" customWidth="1"/>
    <col min="28" max="28" width="2.5703125" style="78" customWidth="1"/>
    <col min="29" max="16384" width="9.140625" style="78"/>
  </cols>
  <sheetData>
    <row r="1" spans="1:29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84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11"/>
      <c r="AA8" s="211"/>
      <c r="AB8" s="212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1"/>
      <c r="Z9" s="212"/>
      <c r="AA9" s="212"/>
      <c r="AB9" s="212"/>
    </row>
    <row r="10" spans="1:29" s="85" customFormat="1" ht="26.25" customHeight="1">
      <c r="B10" s="95"/>
      <c r="C10" s="150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13"/>
      <c r="AA10" s="213"/>
      <c r="AB10" s="214"/>
      <c r="AC10" s="204">
        <f>SUM(T10:AA10)</f>
        <v>0</v>
      </c>
    </row>
    <row r="11" spans="1:29" s="89" customFormat="1" ht="30.75" customHeight="1">
      <c r="B11" s="96"/>
      <c r="C11" s="92">
        <f>+IF(G6&lt;&gt;"ประเมิน",G6,(COUNTIF(B16:B29,$J$1)))</f>
        <v>0</v>
      </c>
      <c r="D11" s="92">
        <f>IF(G6&lt;&gt;"ประเมิน",G6,IF(G11&gt;5,5,IF(G11&gt;3,4,IF(G11&gt;2,3,IF(G11&gt;1,2,IF(G11&gt;0,1,0))))))</f>
        <v>0</v>
      </c>
      <c r="E11" s="731"/>
      <c r="F11" s="731"/>
      <c r="G11" s="516">
        <f>IF(SUM(T10:X10)=5,SUM(T10:Y10),SUM(T10:X10))</f>
        <v>0</v>
      </c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90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9" si="0">IF(G16="มีการดำเนินการ",$J$1, IF(A16=0,$J$2,$A$5))</f>
        <v>¨</v>
      </c>
      <c r="C16" s="86" t="s">
        <v>75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78</v>
      </c>
      <c r="D17" s="733"/>
      <c r="E17" s="734"/>
      <c r="F17" s="397"/>
      <c r="G17" s="378" t="s">
        <v>32</v>
      </c>
    </row>
    <row r="18" spans="1:7" s="87" customFormat="1" ht="1.5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25" t="s">
        <v>495</v>
      </c>
      <c r="G21" s="90" t="s">
        <v>60</v>
      </c>
    </row>
    <row r="22" spans="1:7" s="87" customFormat="1" ht="397.5" customHeight="1">
      <c r="A22" s="100"/>
      <c r="B22" s="31" t="str">
        <f t="shared" si="0"/>
        <v>¨</v>
      </c>
      <c r="C22" s="94" t="s">
        <v>82</v>
      </c>
      <c r="D22" s="733"/>
      <c r="E22" s="734"/>
      <c r="F22" s="397"/>
      <c r="G22" s="378" t="s">
        <v>32</v>
      </c>
    </row>
    <row r="23" spans="1:7" s="87" customFormat="1" ht="210">
      <c r="A23" s="100"/>
      <c r="B23" s="31" t="str">
        <f t="shared" si="0"/>
        <v>¨</v>
      </c>
      <c r="C23" s="86" t="s">
        <v>79</v>
      </c>
      <c r="D23" s="733"/>
      <c r="E23" s="734"/>
      <c r="F23" s="397"/>
      <c r="G23" s="93" t="s">
        <v>32</v>
      </c>
    </row>
    <row r="24" spans="1:7" s="87" customFormat="1" ht="111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90" t="s">
        <v>495</v>
      </c>
      <c r="G27" s="90" t="s">
        <v>60</v>
      </c>
    </row>
    <row r="28" spans="1:7" s="87" customFormat="1" ht="210">
      <c r="A28" s="100"/>
      <c r="B28" s="31" t="str">
        <f t="shared" si="0"/>
        <v>¨</v>
      </c>
      <c r="C28" s="86" t="s">
        <v>80</v>
      </c>
      <c r="D28" s="733"/>
      <c r="E28" s="734"/>
      <c r="G28" s="378" t="s">
        <v>32</v>
      </c>
    </row>
    <row r="29" spans="1:7" s="87" customFormat="1" ht="105">
      <c r="A29" s="100"/>
      <c r="B29" s="31" t="str">
        <f t="shared" si="0"/>
        <v>¨</v>
      </c>
      <c r="C29" s="86" t="s">
        <v>81</v>
      </c>
      <c r="D29" s="733"/>
      <c r="E29" s="734"/>
      <c r="F29" s="397"/>
      <c r="G29" s="378" t="s">
        <v>32</v>
      </c>
    </row>
    <row r="30" spans="1:7" s="85" customFormat="1">
      <c r="B30" s="88"/>
      <c r="D30" s="144"/>
      <c r="E30" s="144"/>
    </row>
  </sheetData>
  <mergeCells count="19">
    <mergeCell ref="D29:E29"/>
    <mergeCell ref="D23:E23"/>
    <mergeCell ref="D28:E28"/>
    <mergeCell ref="E10:F10"/>
    <mergeCell ref="E11:F11"/>
    <mergeCell ref="D16:E16"/>
    <mergeCell ref="D17:E17"/>
    <mergeCell ref="D22:E22"/>
    <mergeCell ref="A13:G13"/>
    <mergeCell ref="D15:E15"/>
    <mergeCell ref="A19:G19"/>
    <mergeCell ref="D21:E21"/>
    <mergeCell ref="A25:G25"/>
    <mergeCell ref="D27:E27"/>
    <mergeCell ref="A1:G1"/>
    <mergeCell ref="A2:G2"/>
    <mergeCell ref="A3:G3"/>
    <mergeCell ref="A4:G4"/>
    <mergeCell ref="A8:G8"/>
  </mergeCells>
  <dataValidations count="2">
    <dataValidation type="list" allowBlank="1" showInputMessage="1" showErrorMessage="1" sqref="G16:G18 G22:G24 G28:G29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scale="59" orientation="landscape" r:id="rId1"/>
  <rowBreaks count="3" manualBreakCount="3">
    <brk id="12" max="11" man="1"/>
    <brk id="18" max="11" man="1"/>
    <brk id="27" max="11" man="1"/>
  </rowBreaks>
  <colBreaks count="1" manualBreakCount="1">
    <brk id="7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Q49"/>
  <sheetViews>
    <sheetView view="pageBreakPreview" zoomScaleNormal="100" zoomScaleSheetLayoutView="100" workbookViewId="0">
      <selection activeCell="I47" sqref="I47"/>
    </sheetView>
  </sheetViews>
  <sheetFormatPr defaultRowHeight="12.75"/>
  <cols>
    <col min="1" max="1" width="3.140625" customWidth="1"/>
    <col min="2" max="2" width="4.28515625" customWidth="1"/>
    <col min="3" max="3" width="45.42578125" customWidth="1"/>
    <col min="4" max="4" width="8.7109375" customWidth="1"/>
    <col min="5" max="5" width="8.28515625" customWidth="1"/>
    <col min="6" max="6" width="8.42578125" customWidth="1"/>
    <col min="7" max="7" width="8.28515625" customWidth="1"/>
    <col min="8" max="8" width="13" customWidth="1"/>
    <col min="9" max="9" width="9.140625" style="108" customWidth="1"/>
    <col min="10" max="16" width="9.140625" hidden="1" customWidth="1"/>
    <col min="17" max="17" width="2.28515625" hidden="1" customWidth="1"/>
    <col min="18" max="19" width="9.140625" customWidth="1"/>
  </cols>
  <sheetData>
    <row r="1" spans="1:16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107"/>
      <c r="J1" s="81" t="s">
        <v>29</v>
      </c>
      <c r="K1" s="51" t="s">
        <v>32</v>
      </c>
      <c r="N1" s="16"/>
      <c r="P1" s="17" t="s">
        <v>9</v>
      </c>
    </row>
    <row r="2" spans="1:16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107"/>
      <c r="J2" s="81" t="s">
        <v>30</v>
      </c>
      <c r="K2" s="51" t="s">
        <v>31</v>
      </c>
      <c r="N2" s="16"/>
      <c r="P2" s="17">
        <v>100</v>
      </c>
    </row>
    <row r="3" spans="1:16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107"/>
      <c r="K3" s="48" t="s">
        <v>72</v>
      </c>
    </row>
    <row r="4" spans="1:16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107"/>
    </row>
    <row r="5" spans="1:16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16" ht="23.25">
      <c r="A6" s="102" t="s">
        <v>85</v>
      </c>
      <c r="B6" s="14"/>
      <c r="C6" s="14"/>
      <c r="D6" s="13"/>
      <c r="E6" s="13"/>
      <c r="F6" s="13"/>
      <c r="G6" s="741" t="s">
        <v>61</v>
      </c>
      <c r="H6" s="741"/>
      <c r="L6" s="82" t="s">
        <v>62</v>
      </c>
    </row>
    <row r="7" spans="1:16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16" ht="23.25">
      <c r="A8" s="727" t="s">
        <v>161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16" ht="7.5" customHeight="1">
      <c r="A9" s="15"/>
      <c r="B9" s="13"/>
      <c r="C9" s="13"/>
      <c r="D9" s="13"/>
      <c r="E9" s="13"/>
      <c r="F9" s="13"/>
      <c r="G9" s="13"/>
      <c r="H9" s="13"/>
    </row>
    <row r="10" spans="1:16" ht="21.75">
      <c r="A10" s="747" t="s">
        <v>6</v>
      </c>
      <c r="B10" s="748"/>
      <c r="C10" s="748"/>
      <c r="D10" s="749"/>
      <c r="E10" s="103" t="s">
        <v>8</v>
      </c>
      <c r="F10" s="747" t="s">
        <v>0</v>
      </c>
      <c r="G10" s="749"/>
      <c r="H10" s="19" t="s">
        <v>7</v>
      </c>
      <c r="L10" s="16" t="s">
        <v>9</v>
      </c>
    </row>
    <row r="11" spans="1:16" ht="21.75">
      <c r="A11" s="20">
        <v>1</v>
      </c>
      <c r="B11" s="736" t="s">
        <v>50</v>
      </c>
      <c r="C11" s="736"/>
      <c r="D11" s="737"/>
      <c r="E11" s="28" t="s">
        <v>3</v>
      </c>
      <c r="F11" s="769">
        <f>G28</f>
        <v>0</v>
      </c>
      <c r="G11" s="770"/>
      <c r="H11" s="771" t="e">
        <f>IF(G6&lt;&gt;"ประเมิน",G6,IF(F13&gt;=L11,5,ROUND(F13*5/L11,2)))</f>
        <v>#DIV/0!</v>
      </c>
      <c r="L11" s="16">
        <v>30</v>
      </c>
    </row>
    <row r="12" spans="1:16" ht="21.75">
      <c r="A12" s="20">
        <v>2</v>
      </c>
      <c r="B12" s="736" t="s">
        <v>86</v>
      </c>
      <c r="C12" s="736"/>
      <c r="D12" s="737"/>
      <c r="E12" s="28" t="s">
        <v>3</v>
      </c>
      <c r="F12" s="769">
        <f>SUM(G32,G36,G40,G44)</f>
        <v>0</v>
      </c>
      <c r="G12" s="770"/>
      <c r="H12" s="772"/>
    </row>
    <row r="13" spans="1:16" ht="21.75">
      <c r="A13" s="20">
        <v>3</v>
      </c>
      <c r="B13" s="736" t="s">
        <v>87</v>
      </c>
      <c r="C13" s="736"/>
      <c r="D13" s="737"/>
      <c r="E13" s="28" t="s">
        <v>5</v>
      </c>
      <c r="F13" s="774" t="e">
        <f>+IF(G6&lt;&gt;"ประเมิน",G6,ROUND(F12*100/F11,2))</f>
        <v>#DIV/0!</v>
      </c>
      <c r="G13" s="775"/>
      <c r="H13" s="773"/>
    </row>
    <row r="14" spans="1:16" ht="23.25">
      <c r="A14" s="727" t="s">
        <v>162</v>
      </c>
      <c r="B14" s="727"/>
      <c r="C14" s="727"/>
      <c r="D14" s="727"/>
      <c r="E14" s="727"/>
      <c r="F14" s="727"/>
      <c r="G14" s="727"/>
      <c r="H14" s="17"/>
      <c r="L14" s="82" t="s">
        <v>74</v>
      </c>
    </row>
    <row r="15" spans="1:16" ht="7.5" customHeight="1">
      <c r="A15" s="15"/>
      <c r="B15" s="13"/>
      <c r="C15" s="13"/>
      <c r="D15" s="13"/>
      <c r="E15" s="13"/>
      <c r="F15" s="13"/>
      <c r="G15" s="13"/>
      <c r="H15" s="13"/>
    </row>
    <row r="16" spans="1:16" ht="21.75">
      <c r="A16" s="747" t="s">
        <v>6</v>
      </c>
      <c r="B16" s="748"/>
      <c r="C16" s="748"/>
      <c r="D16" s="749"/>
      <c r="E16" s="103" t="s">
        <v>8</v>
      </c>
      <c r="F16" s="747" t="s">
        <v>0</v>
      </c>
      <c r="G16" s="749"/>
      <c r="H16" s="19" t="s">
        <v>7</v>
      </c>
      <c r="L16" s="16" t="s">
        <v>9</v>
      </c>
    </row>
    <row r="17" spans="1:16" ht="21.75">
      <c r="A17" s="20">
        <v>1</v>
      </c>
      <c r="B17" s="736" t="s">
        <v>90</v>
      </c>
      <c r="C17" s="736"/>
      <c r="D17" s="737"/>
      <c r="E17" s="28" t="s">
        <v>3</v>
      </c>
      <c r="F17" s="780">
        <f>F28</f>
        <v>0</v>
      </c>
      <c r="G17" s="781"/>
      <c r="H17" s="766" t="e">
        <f>IF(G6&lt;&gt;"ประเมิน",G6,IF(F20&gt;=L17,5,ROUND(F20*5/L17,2)))</f>
        <v>#DIV/0!</v>
      </c>
      <c r="L17" s="16">
        <v>6</v>
      </c>
    </row>
    <row r="18" spans="1:16" ht="21.75" customHeight="1">
      <c r="A18" s="20">
        <v>2</v>
      </c>
      <c r="B18" s="736" t="s">
        <v>88</v>
      </c>
      <c r="C18" s="736"/>
      <c r="D18" s="737"/>
      <c r="E18" s="28" t="s">
        <v>3</v>
      </c>
      <c r="F18" s="780">
        <f>SUM(F32,F36,F40,F44)</f>
        <v>0</v>
      </c>
      <c r="G18" s="781"/>
      <c r="H18" s="767"/>
    </row>
    <row r="19" spans="1:16" ht="21.75">
      <c r="A19" s="20">
        <v>3</v>
      </c>
      <c r="B19" s="736" t="s">
        <v>91</v>
      </c>
      <c r="C19" s="736"/>
      <c r="D19" s="737"/>
      <c r="E19" s="28" t="s">
        <v>3</v>
      </c>
      <c r="F19" s="764" t="e">
        <f>F18*100/F17</f>
        <v>#DIV/0!</v>
      </c>
      <c r="G19" s="765"/>
      <c r="H19" s="767"/>
    </row>
    <row r="20" spans="1:16" ht="48" customHeight="1">
      <c r="A20" s="20">
        <v>3</v>
      </c>
      <c r="B20" s="736" t="s">
        <v>89</v>
      </c>
      <c r="C20" s="736"/>
      <c r="D20" s="737"/>
      <c r="E20" s="28" t="s">
        <v>5</v>
      </c>
      <c r="F20" s="764" t="e">
        <f>+IF(G6&lt;&gt;"ประเมิน",G6,ROUND((F13-F19),2))</f>
        <v>#DIV/0!</v>
      </c>
      <c r="G20" s="765"/>
      <c r="H20" s="768"/>
    </row>
    <row r="21" spans="1:16" ht="21.75">
      <c r="A21" s="777" t="s">
        <v>111</v>
      </c>
      <c r="B21" s="777"/>
      <c r="C21" s="777"/>
      <c r="D21" s="777"/>
      <c r="E21" s="777"/>
      <c r="F21" s="778" t="e">
        <f>IF(H11&gt;H17,F13,F20)</f>
        <v>#DIV/0!</v>
      </c>
      <c r="G21" s="778"/>
      <c r="H21" s="251" t="e">
        <f>IF(H11&gt;H17,H11,H17)</f>
        <v>#DIV/0!</v>
      </c>
    </row>
    <row r="22" spans="1:16" ht="21.75">
      <c r="B22" s="130"/>
      <c r="C22" s="130"/>
      <c r="D22" s="130"/>
      <c r="F22" s="779"/>
      <c r="G22" s="779"/>
      <c r="H22" s="779"/>
      <c r="I22"/>
    </row>
    <row r="23" spans="1:16" ht="18.75" customHeight="1">
      <c r="A23" s="40"/>
      <c r="B23" s="40"/>
      <c r="C23" s="131"/>
      <c r="D23" s="131"/>
      <c r="E23" s="131"/>
      <c r="F23" s="125"/>
      <c r="G23" s="125"/>
      <c r="H23" s="125"/>
      <c r="I23"/>
    </row>
    <row r="24" spans="1:16" ht="23.25">
      <c r="A24" s="727" t="s">
        <v>77</v>
      </c>
      <c r="B24" s="727"/>
      <c r="C24" s="727"/>
      <c r="D24" s="727"/>
      <c r="E24" s="727"/>
      <c r="F24" s="727"/>
      <c r="G24" s="727"/>
      <c r="H24" s="13"/>
    </row>
    <row r="25" spans="1:16" ht="9" customHeight="1">
      <c r="A25" s="13"/>
      <c r="B25" s="13"/>
      <c r="C25" s="13"/>
      <c r="D25" s="13"/>
      <c r="E25" s="13"/>
      <c r="F25" s="13"/>
      <c r="G25" s="13"/>
      <c r="H25" s="13"/>
    </row>
    <row r="26" spans="1:16" ht="21.75">
      <c r="A26" s="745" t="s">
        <v>4</v>
      </c>
      <c r="B26" s="745"/>
      <c r="C26" s="745"/>
      <c r="D26" s="745" t="s">
        <v>2</v>
      </c>
      <c r="E26" s="759" t="s">
        <v>0</v>
      </c>
      <c r="F26" s="759"/>
      <c r="G26" s="759"/>
      <c r="H26" s="759"/>
      <c r="I26" s="776"/>
      <c r="J26" s="16"/>
    </row>
    <row r="27" spans="1:16" ht="21.75">
      <c r="A27" s="745"/>
      <c r="B27" s="745"/>
      <c r="C27" s="745"/>
      <c r="D27" s="745"/>
      <c r="E27" s="119">
        <v>2554</v>
      </c>
      <c r="F27" s="119">
        <v>2555</v>
      </c>
      <c r="G27" s="119">
        <v>2556</v>
      </c>
      <c r="H27" s="106" t="s">
        <v>1</v>
      </c>
      <c r="I27" s="776"/>
      <c r="J27" s="16"/>
    </row>
    <row r="28" spans="1:16" ht="23.25">
      <c r="A28" s="20">
        <v>1</v>
      </c>
      <c r="B28" s="736" t="s">
        <v>50</v>
      </c>
      <c r="C28" s="737"/>
      <c r="D28" s="28" t="s">
        <v>3</v>
      </c>
      <c r="E28" s="237">
        <f>+E29+E33+E37+E41</f>
        <v>0</v>
      </c>
      <c r="F28" s="237">
        <f>+F29+F33+F37+F41</f>
        <v>0</v>
      </c>
      <c r="G28" s="237">
        <f>+G29+G33+G37+G41</f>
        <v>0</v>
      </c>
      <c r="H28" s="237">
        <f t="shared" ref="H28:H44" si="0">SUM(E28:G28)</f>
        <v>0</v>
      </c>
      <c r="I28" s="109"/>
      <c r="J28" s="16"/>
    </row>
    <row r="29" spans="1:16" ht="23.25">
      <c r="A29" s="57">
        <v>2</v>
      </c>
      <c r="B29" s="782" t="s">
        <v>53</v>
      </c>
      <c r="C29" s="783"/>
      <c r="D29" s="58" t="s">
        <v>3</v>
      </c>
      <c r="E29" s="244">
        <f>+E30+E31+E32</f>
        <v>0</v>
      </c>
      <c r="F29" s="244">
        <f>+F30+F31+F32</f>
        <v>0</v>
      </c>
      <c r="G29" s="244">
        <f>+G30+G31+G32</f>
        <v>0</v>
      </c>
      <c r="H29" s="244">
        <f t="shared" si="0"/>
        <v>0</v>
      </c>
      <c r="I29" s="109"/>
      <c r="J29" s="50"/>
    </row>
    <row r="30" spans="1:16" ht="23.25">
      <c r="A30" s="56"/>
      <c r="B30" s="104">
        <v>2.1</v>
      </c>
      <c r="C30" s="105" t="s">
        <v>54</v>
      </c>
      <c r="D30" s="28" t="s">
        <v>3</v>
      </c>
      <c r="E30" s="111"/>
      <c r="F30" s="111"/>
      <c r="G30" s="111"/>
      <c r="H30" s="237">
        <f t="shared" si="0"/>
        <v>0</v>
      </c>
      <c r="I30" s="110"/>
      <c r="J30" s="16"/>
      <c r="P30" s="16">
        <v>0</v>
      </c>
    </row>
    <row r="31" spans="1:16" ht="23.25">
      <c r="A31" s="56"/>
      <c r="B31" s="104">
        <v>2.2000000000000002</v>
      </c>
      <c r="C31" s="105" t="s">
        <v>56</v>
      </c>
      <c r="D31" s="28" t="s">
        <v>3</v>
      </c>
      <c r="E31" s="111"/>
      <c r="F31" s="111"/>
      <c r="G31" s="111"/>
      <c r="H31" s="237">
        <f t="shared" si="0"/>
        <v>0</v>
      </c>
      <c r="I31" s="110"/>
      <c r="J31" s="16"/>
      <c r="P31" s="16">
        <v>2</v>
      </c>
    </row>
    <row r="32" spans="1:16" ht="23.25">
      <c r="A32" s="55"/>
      <c r="B32" s="104">
        <v>2.2999999999999998</v>
      </c>
      <c r="C32" s="105" t="s">
        <v>55</v>
      </c>
      <c r="D32" s="28" t="s">
        <v>3</v>
      </c>
      <c r="E32" s="111"/>
      <c r="F32" s="111"/>
      <c r="G32" s="111"/>
      <c r="H32" s="237">
        <f t="shared" si="0"/>
        <v>0</v>
      </c>
      <c r="I32" s="110"/>
      <c r="J32" s="16"/>
      <c r="P32" s="16">
        <v>5</v>
      </c>
    </row>
    <row r="33" spans="1:16" ht="23.25">
      <c r="A33" s="57">
        <v>3</v>
      </c>
      <c r="B33" s="782" t="s">
        <v>57</v>
      </c>
      <c r="C33" s="783"/>
      <c r="D33" s="58" t="s">
        <v>3</v>
      </c>
      <c r="E33" s="244">
        <f>+E34+E35+E36</f>
        <v>0</v>
      </c>
      <c r="F33" s="244">
        <f>+F34+F35+F36</f>
        <v>0</v>
      </c>
      <c r="G33" s="244">
        <f>+G34+G35+G36</f>
        <v>0</v>
      </c>
      <c r="H33" s="244">
        <f t="shared" si="0"/>
        <v>0</v>
      </c>
      <c r="I33" s="110"/>
      <c r="J33" s="16"/>
      <c r="P33" s="16"/>
    </row>
    <row r="34" spans="1:16" ht="23.25">
      <c r="A34" s="56"/>
      <c r="B34" s="25">
        <v>3.1</v>
      </c>
      <c r="C34" s="26" t="s">
        <v>54</v>
      </c>
      <c r="D34" s="28" t="s">
        <v>3</v>
      </c>
      <c r="E34" s="111"/>
      <c r="F34" s="111"/>
      <c r="G34" s="111"/>
      <c r="H34" s="237">
        <f t="shared" si="0"/>
        <v>0</v>
      </c>
      <c r="I34" s="110"/>
      <c r="J34" s="16"/>
      <c r="P34" s="16">
        <v>1</v>
      </c>
    </row>
    <row r="35" spans="1:16" ht="23.25">
      <c r="A35" s="56"/>
      <c r="B35" s="25">
        <v>3.2</v>
      </c>
      <c r="C35" s="26" t="s">
        <v>58</v>
      </c>
      <c r="D35" s="28" t="s">
        <v>3</v>
      </c>
      <c r="E35" s="111"/>
      <c r="F35" s="111"/>
      <c r="G35" s="111"/>
      <c r="H35" s="237">
        <f t="shared" si="0"/>
        <v>0</v>
      </c>
      <c r="I35" s="110"/>
      <c r="J35" s="16"/>
      <c r="P35" s="16">
        <v>3</v>
      </c>
    </row>
    <row r="36" spans="1:16" ht="23.25">
      <c r="A36" s="55"/>
      <c r="B36" s="27">
        <v>3.3</v>
      </c>
      <c r="C36" s="26" t="s">
        <v>55</v>
      </c>
      <c r="D36" s="28" t="s">
        <v>3</v>
      </c>
      <c r="E36" s="111"/>
      <c r="F36" s="111"/>
      <c r="G36" s="111"/>
      <c r="H36" s="237">
        <f t="shared" si="0"/>
        <v>0</v>
      </c>
      <c r="I36" s="110"/>
      <c r="J36" s="16"/>
      <c r="P36" s="16">
        <v>6</v>
      </c>
    </row>
    <row r="37" spans="1:16" ht="23.25">
      <c r="A37" s="59">
        <v>4</v>
      </c>
      <c r="B37" s="60" t="s">
        <v>59</v>
      </c>
      <c r="C37" s="61"/>
      <c r="D37" s="58" t="s">
        <v>3</v>
      </c>
      <c r="E37" s="244">
        <f>+E38+E39+E40</f>
        <v>0</v>
      </c>
      <c r="F37" s="244">
        <f>+F38+F39+F40</f>
        <v>0</v>
      </c>
      <c r="G37" s="244">
        <f>+G38+G39+G40</f>
        <v>0</v>
      </c>
      <c r="H37" s="244">
        <f t="shared" si="0"/>
        <v>0</v>
      </c>
      <c r="I37" s="110"/>
      <c r="J37" s="16"/>
      <c r="P37" s="16"/>
    </row>
    <row r="38" spans="1:16" ht="23.25">
      <c r="A38" s="56"/>
      <c r="B38" s="25">
        <v>4.0999999999999996</v>
      </c>
      <c r="C38" s="26" t="s">
        <v>54</v>
      </c>
      <c r="D38" s="28" t="s">
        <v>3</v>
      </c>
      <c r="E38" s="111"/>
      <c r="F38" s="111"/>
      <c r="G38" s="111"/>
      <c r="H38" s="237">
        <f t="shared" si="0"/>
        <v>0</v>
      </c>
      <c r="I38" s="110"/>
      <c r="J38" s="16"/>
      <c r="P38" s="16">
        <v>3</v>
      </c>
    </row>
    <row r="39" spans="1:16" ht="23.25">
      <c r="A39" s="56"/>
      <c r="B39" s="25">
        <v>4.2</v>
      </c>
      <c r="C39" s="26" t="s">
        <v>58</v>
      </c>
      <c r="D39" s="28" t="s">
        <v>3</v>
      </c>
      <c r="E39" s="111"/>
      <c r="F39" s="111"/>
      <c r="G39" s="111"/>
      <c r="H39" s="237">
        <f t="shared" si="0"/>
        <v>0</v>
      </c>
      <c r="I39" s="110"/>
      <c r="J39" s="16"/>
      <c r="P39" s="16">
        <v>5</v>
      </c>
    </row>
    <row r="40" spans="1:16" ht="23.25">
      <c r="A40" s="55"/>
      <c r="B40" s="27">
        <v>4.3</v>
      </c>
      <c r="C40" s="26" t="s">
        <v>55</v>
      </c>
      <c r="D40" s="28" t="s">
        <v>3</v>
      </c>
      <c r="E40" s="111"/>
      <c r="F40" s="111"/>
      <c r="G40" s="111"/>
      <c r="H40" s="237">
        <f t="shared" si="0"/>
        <v>0</v>
      </c>
      <c r="I40" s="110"/>
      <c r="J40" s="16"/>
      <c r="P40" s="16">
        <v>8</v>
      </c>
    </row>
    <row r="41" spans="1:16" ht="23.25">
      <c r="A41" s="59">
        <v>5</v>
      </c>
      <c r="B41" s="60" t="s">
        <v>65</v>
      </c>
      <c r="C41" s="61"/>
      <c r="D41" s="58" t="s">
        <v>3</v>
      </c>
      <c r="E41" s="244">
        <f>+E42+E43+E44</f>
        <v>0</v>
      </c>
      <c r="F41" s="244">
        <f>+F42+F43+F44</f>
        <v>0</v>
      </c>
      <c r="G41" s="244">
        <f>+G42+G43+G44</f>
        <v>0</v>
      </c>
      <c r="H41" s="244">
        <f t="shared" si="0"/>
        <v>0</v>
      </c>
      <c r="I41" s="110"/>
      <c r="J41" s="16"/>
      <c r="P41" s="16"/>
    </row>
    <row r="42" spans="1:16" ht="23.25">
      <c r="A42" s="56"/>
      <c r="B42" s="25">
        <v>5.0999999999999996</v>
      </c>
      <c r="C42" s="26" t="s">
        <v>54</v>
      </c>
      <c r="D42" s="28" t="s">
        <v>3</v>
      </c>
      <c r="E42" s="111"/>
      <c r="F42" s="111"/>
      <c r="G42" s="111"/>
      <c r="H42" s="237">
        <f t="shared" si="0"/>
        <v>0</v>
      </c>
      <c r="I42" s="110"/>
      <c r="J42" s="16"/>
      <c r="P42" s="16">
        <v>6</v>
      </c>
    </row>
    <row r="43" spans="1:16" ht="23.25">
      <c r="A43" s="56"/>
      <c r="B43" s="25">
        <v>5.2</v>
      </c>
      <c r="C43" s="26" t="s">
        <v>58</v>
      </c>
      <c r="D43" s="28" t="s">
        <v>3</v>
      </c>
      <c r="E43" s="111"/>
      <c r="F43" s="111"/>
      <c r="G43" s="111"/>
      <c r="H43" s="237">
        <f t="shared" si="0"/>
        <v>0</v>
      </c>
      <c r="I43" s="110"/>
      <c r="J43" s="16"/>
      <c r="P43" s="16">
        <v>8</v>
      </c>
    </row>
    <row r="44" spans="1:16" ht="23.25">
      <c r="A44" s="56"/>
      <c r="B44" s="25">
        <v>5.3</v>
      </c>
      <c r="C44" s="26" t="s">
        <v>55</v>
      </c>
      <c r="D44" s="28" t="s">
        <v>3</v>
      </c>
      <c r="E44" s="111"/>
      <c r="F44" s="111"/>
      <c r="G44" s="111"/>
      <c r="H44" s="237">
        <f t="shared" si="0"/>
        <v>0</v>
      </c>
      <c r="I44" s="110"/>
      <c r="J44" s="16"/>
      <c r="P44" s="16">
        <v>10</v>
      </c>
    </row>
    <row r="45" spans="1:16" ht="21.75">
      <c r="A45" s="62"/>
      <c r="B45" s="63"/>
      <c r="C45" s="63"/>
      <c r="D45" s="64"/>
      <c r="E45" s="65"/>
      <c r="F45" s="65"/>
      <c r="G45" s="65"/>
      <c r="H45" s="65"/>
    </row>
    <row r="46" spans="1:16" ht="21.75">
      <c r="A46" s="740" t="s">
        <v>951</v>
      </c>
      <c r="B46" s="740"/>
      <c r="C46" s="740"/>
      <c r="D46" s="37"/>
      <c r="E46" s="38"/>
      <c r="F46" s="38"/>
      <c r="G46" s="38"/>
      <c r="H46" s="39"/>
      <c r="I46"/>
    </row>
    <row r="47" spans="1:16" ht="18" customHeight="1">
      <c r="A47" s="40"/>
      <c r="B47" s="42"/>
      <c r="C47" s="755">
        <v>1</v>
      </c>
      <c r="D47" s="755"/>
      <c r="E47" s="755"/>
      <c r="F47" s="755"/>
      <c r="G47" s="755"/>
      <c r="H47" s="755"/>
      <c r="I47"/>
    </row>
    <row r="48" spans="1:16" ht="21.75">
      <c r="A48" s="35"/>
      <c r="B48" s="41"/>
      <c r="C48" s="755">
        <v>2</v>
      </c>
      <c r="D48" s="755"/>
      <c r="E48" s="755"/>
      <c r="F48" s="755"/>
      <c r="G48" s="755"/>
      <c r="H48" s="755"/>
      <c r="I48"/>
    </row>
    <row r="49" spans="1:9" ht="21.75">
      <c r="A49" s="35"/>
      <c r="B49" s="41"/>
      <c r="C49" s="755">
        <v>3</v>
      </c>
      <c r="D49" s="755"/>
      <c r="E49" s="755"/>
      <c r="F49" s="755"/>
      <c r="G49" s="755"/>
      <c r="H49" s="755"/>
      <c r="I49"/>
    </row>
  </sheetData>
  <mergeCells count="42">
    <mergeCell ref="C49:H49"/>
    <mergeCell ref="A46:C46"/>
    <mergeCell ref="B29:C29"/>
    <mergeCell ref="B33:C33"/>
    <mergeCell ref="C47:H47"/>
    <mergeCell ref="C48:H48"/>
    <mergeCell ref="B28:C28"/>
    <mergeCell ref="B17:D17"/>
    <mergeCell ref="F17:G17"/>
    <mergeCell ref="B18:D18"/>
    <mergeCell ref="F18:G18"/>
    <mergeCell ref="B20:D20"/>
    <mergeCell ref="F20:G20"/>
    <mergeCell ref="I26:I27"/>
    <mergeCell ref="A24:G24"/>
    <mergeCell ref="A21:E21"/>
    <mergeCell ref="F21:G21"/>
    <mergeCell ref="F22:H22"/>
    <mergeCell ref="A26:C27"/>
    <mergeCell ref="D26:D27"/>
    <mergeCell ref="E26:H26"/>
    <mergeCell ref="A14:G14"/>
    <mergeCell ref="B19:D19"/>
    <mergeCell ref="F19:G19"/>
    <mergeCell ref="H17:H20"/>
    <mergeCell ref="A8:G8"/>
    <mergeCell ref="A10:D10"/>
    <mergeCell ref="F10:G10"/>
    <mergeCell ref="B11:D11"/>
    <mergeCell ref="F11:G11"/>
    <mergeCell ref="H11:H13"/>
    <mergeCell ref="B12:D12"/>
    <mergeCell ref="F12:G12"/>
    <mergeCell ref="B13:D13"/>
    <mergeCell ref="F13:G13"/>
    <mergeCell ref="A16:D16"/>
    <mergeCell ref="F16:G16"/>
    <mergeCell ref="G6:H6"/>
    <mergeCell ref="A1:H1"/>
    <mergeCell ref="A2:H2"/>
    <mergeCell ref="A3:H3"/>
    <mergeCell ref="A4:H4"/>
  </mergeCells>
  <dataValidations count="2">
    <dataValidation type="list" errorStyle="information" allowBlank="1" showInputMessage="1" showErrorMessage="1" prompt="กรุณาเลือก" sqref="G6:H6">
      <formula1>$L$5:$L$8</formula1>
    </dataValidation>
    <dataValidation allowBlank="1" showInputMessage="1" showErrorMessage="1" prompt="กรุณาใส่คะแนนตามที่หน่วยงานรายงาน_x000a_" sqref="F23:G23"/>
  </dataValidations>
  <pageMargins left="0.31" right="0.25" top="0.75" bottom="0.75" header="0.3" footer="0.3"/>
  <pageSetup paperSize="9" scale="99" orientation="portrait" r:id="rId1"/>
  <rowBreaks count="1" manualBreakCount="1">
    <brk id="23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R51"/>
  <sheetViews>
    <sheetView view="pageBreakPreview" zoomScaleNormal="100" zoomScaleSheetLayoutView="100" workbookViewId="0">
      <selection activeCell="A48" sqref="A48:XFD51"/>
    </sheetView>
  </sheetViews>
  <sheetFormatPr defaultRowHeight="12.75"/>
  <cols>
    <col min="1" max="1" width="3.140625" customWidth="1"/>
    <col min="2" max="2" width="4.28515625" customWidth="1"/>
    <col min="3" max="3" width="45.42578125" customWidth="1"/>
    <col min="4" max="4" width="8.7109375" customWidth="1"/>
    <col min="5" max="5" width="8.28515625" customWidth="1"/>
    <col min="6" max="6" width="8.42578125" customWidth="1"/>
    <col min="7" max="7" width="8.28515625" customWidth="1"/>
    <col min="8" max="8" width="11" customWidth="1"/>
    <col min="9" max="9" width="9.140625" style="108" customWidth="1"/>
    <col min="10" max="18" width="9.140625" hidden="1" customWidth="1"/>
  </cols>
  <sheetData>
    <row r="1" spans="1:16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107"/>
      <c r="J1" s="81" t="s">
        <v>29</v>
      </c>
      <c r="K1" s="51" t="s">
        <v>32</v>
      </c>
      <c r="N1" s="16"/>
      <c r="P1" s="17" t="s">
        <v>9</v>
      </c>
    </row>
    <row r="2" spans="1:16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107"/>
      <c r="J2" s="81" t="s">
        <v>30</v>
      </c>
      <c r="K2" s="51" t="s">
        <v>31</v>
      </c>
      <c r="N2" s="16"/>
      <c r="P2" s="17">
        <v>100</v>
      </c>
    </row>
    <row r="3" spans="1:16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107"/>
      <c r="K3" s="48" t="s">
        <v>72</v>
      </c>
    </row>
    <row r="4" spans="1:16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107"/>
    </row>
    <row r="5" spans="1:16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16" ht="23.25">
      <c r="A6" s="102" t="s">
        <v>97</v>
      </c>
      <c r="B6" s="14"/>
      <c r="C6" s="102" t="s">
        <v>136</v>
      </c>
      <c r="D6" s="13"/>
      <c r="E6" s="13"/>
      <c r="F6" s="13"/>
      <c r="G6" s="741" t="s">
        <v>61</v>
      </c>
      <c r="H6" s="741"/>
      <c r="L6" s="82" t="s">
        <v>62</v>
      </c>
    </row>
    <row r="7" spans="1:16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16" ht="23.25">
      <c r="A8" s="727" t="s">
        <v>161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16" ht="7.5" customHeight="1">
      <c r="A9" s="15"/>
      <c r="B9" s="13"/>
      <c r="C9" s="13"/>
      <c r="D9" s="13"/>
      <c r="E9" s="13"/>
      <c r="F9" s="13"/>
      <c r="G9" s="13"/>
      <c r="H9" s="13"/>
    </row>
    <row r="10" spans="1:16" ht="21.75">
      <c r="A10" s="747" t="s">
        <v>6</v>
      </c>
      <c r="B10" s="748"/>
      <c r="C10" s="748"/>
      <c r="D10" s="749"/>
      <c r="E10" s="103" t="s">
        <v>8</v>
      </c>
      <c r="F10" s="747" t="s">
        <v>0</v>
      </c>
      <c r="G10" s="749"/>
      <c r="H10" s="19" t="s">
        <v>7</v>
      </c>
      <c r="L10" s="16" t="s">
        <v>9</v>
      </c>
    </row>
    <row r="11" spans="1:16" ht="21.75" customHeight="1">
      <c r="A11" s="20">
        <v>1</v>
      </c>
      <c r="B11" s="736" t="s">
        <v>50</v>
      </c>
      <c r="C11" s="736"/>
      <c r="D11" s="737"/>
      <c r="E11" s="28" t="s">
        <v>3</v>
      </c>
      <c r="F11" s="769">
        <f>G30</f>
        <v>0</v>
      </c>
      <c r="G11" s="770"/>
      <c r="H11" s="771" t="e">
        <f>IF(G6&lt;&gt;"ประเมิน",G6,IF(F13&gt;=L11,5,ROUND(F13*5/L11,2)))</f>
        <v>#DIV/0!</v>
      </c>
      <c r="L11" s="16">
        <v>60</v>
      </c>
    </row>
    <row r="12" spans="1:16" ht="21.75" customHeight="1">
      <c r="A12" s="20">
        <v>2</v>
      </c>
      <c r="B12" s="736" t="s">
        <v>92</v>
      </c>
      <c r="C12" s="736"/>
      <c r="D12" s="737"/>
      <c r="E12" s="28" t="s">
        <v>3</v>
      </c>
      <c r="F12" s="784">
        <f>G36+G37+G38+G40+G41+G42+G44+G45+G46</f>
        <v>0</v>
      </c>
      <c r="G12" s="770"/>
      <c r="H12" s="772"/>
    </row>
    <row r="13" spans="1:16" ht="21.75" customHeight="1">
      <c r="A13" s="20">
        <v>3</v>
      </c>
      <c r="B13" s="736" t="s">
        <v>93</v>
      </c>
      <c r="C13" s="736"/>
      <c r="D13" s="737"/>
      <c r="E13" s="28" t="s">
        <v>5</v>
      </c>
      <c r="F13" s="774" t="e">
        <f>+IF(G6&lt;&gt;"ประเมิน",G6,ROUND(F12*100/F11,2))</f>
        <v>#DIV/0!</v>
      </c>
      <c r="G13" s="775"/>
      <c r="H13" s="773"/>
    </row>
    <row r="14" spans="1:16" ht="23.25">
      <c r="A14" s="727" t="s">
        <v>162</v>
      </c>
      <c r="B14" s="727"/>
      <c r="C14" s="727"/>
      <c r="D14" s="727"/>
      <c r="E14" s="727"/>
      <c r="F14" s="727"/>
      <c r="G14" s="727"/>
      <c r="H14" s="17"/>
      <c r="L14" s="82" t="s">
        <v>74</v>
      </c>
    </row>
    <row r="15" spans="1:16" ht="10.5" customHeight="1">
      <c r="A15" s="15"/>
      <c r="B15" s="13"/>
      <c r="C15" s="13"/>
      <c r="D15" s="13"/>
      <c r="E15" s="13"/>
      <c r="F15" s="13"/>
      <c r="G15" s="13"/>
      <c r="H15" s="13"/>
    </row>
    <row r="16" spans="1:16" ht="34.5" customHeight="1">
      <c r="A16" s="747" t="s">
        <v>6</v>
      </c>
      <c r="B16" s="748"/>
      <c r="C16" s="748"/>
      <c r="D16" s="749"/>
      <c r="E16" s="103" t="s">
        <v>8</v>
      </c>
      <c r="F16" s="747" t="s">
        <v>0</v>
      </c>
      <c r="G16" s="749"/>
      <c r="H16" s="19" t="s">
        <v>7</v>
      </c>
      <c r="L16" s="16" t="s">
        <v>9</v>
      </c>
    </row>
    <row r="17" spans="1:16" ht="21.75" customHeight="1">
      <c r="A17" s="20">
        <v>1</v>
      </c>
      <c r="B17" s="736" t="s">
        <v>90</v>
      </c>
      <c r="C17" s="736"/>
      <c r="D17" s="737"/>
      <c r="E17" s="28" t="s">
        <v>3</v>
      </c>
      <c r="F17" s="769">
        <f>F30</f>
        <v>0</v>
      </c>
      <c r="G17" s="770"/>
      <c r="H17" s="771" t="e">
        <f>IF(G6&lt;&gt;"ประเมิน",G6,IF(F20&gt;=L17,5,ROUND(F20*5/L17,2)))</f>
        <v>#DIV/0!</v>
      </c>
      <c r="L17" s="16">
        <v>12</v>
      </c>
    </row>
    <row r="18" spans="1:16" ht="21.75">
      <c r="A18" s="20">
        <v>2</v>
      </c>
      <c r="B18" s="736" t="s">
        <v>94</v>
      </c>
      <c r="C18" s="736"/>
      <c r="D18" s="737"/>
      <c r="E18" s="28" t="s">
        <v>3</v>
      </c>
      <c r="F18" s="769">
        <f>F36+F37+F38+F40+F41+F42+F44+F45+F46</f>
        <v>0</v>
      </c>
      <c r="G18" s="770"/>
      <c r="H18" s="772"/>
    </row>
    <row r="19" spans="1:16" ht="23.25" customHeight="1">
      <c r="A19" s="20">
        <v>3</v>
      </c>
      <c r="B19" s="736" t="s">
        <v>95</v>
      </c>
      <c r="C19" s="736"/>
      <c r="D19" s="737"/>
      <c r="E19" s="28" t="s">
        <v>5</v>
      </c>
      <c r="F19" s="774" t="e">
        <f>F18*100/F17</f>
        <v>#DIV/0!</v>
      </c>
      <c r="G19" s="775"/>
      <c r="H19" s="772"/>
    </row>
    <row r="20" spans="1:16" ht="55.5" customHeight="1">
      <c r="A20" s="20">
        <v>3</v>
      </c>
      <c r="B20" s="736" t="s">
        <v>96</v>
      </c>
      <c r="C20" s="736"/>
      <c r="D20" s="737"/>
      <c r="E20" s="28" t="s">
        <v>5</v>
      </c>
      <c r="F20" s="774" t="e">
        <f>+IF(G6&lt;&gt;"ประเมิน",G6,ROUND((F13-F19),2))</f>
        <v>#DIV/0!</v>
      </c>
      <c r="G20" s="775"/>
      <c r="H20" s="773"/>
    </row>
    <row r="21" spans="1:16" ht="21.75">
      <c r="A21" s="777" t="s">
        <v>112</v>
      </c>
      <c r="B21" s="777"/>
      <c r="C21" s="777"/>
      <c r="D21" s="777"/>
      <c r="E21" s="777"/>
      <c r="F21" s="785" t="e">
        <f>IF(H11&gt;H17,F13,F20)</f>
        <v>#DIV/0!</v>
      </c>
      <c r="G21" s="785"/>
      <c r="H21" s="138" t="e">
        <f>IF(H11&gt;H17,H11,H17)</f>
        <v>#DIV/0!</v>
      </c>
    </row>
    <row r="22" spans="1:16" ht="21.75">
      <c r="B22" s="130"/>
      <c r="C22" s="130"/>
      <c r="D22" s="130"/>
      <c r="F22" s="779"/>
      <c r="G22" s="779"/>
      <c r="H22" s="779"/>
      <c r="I22"/>
    </row>
    <row r="23" spans="1:16" ht="21.75">
      <c r="B23" s="40"/>
      <c r="C23" s="786"/>
      <c r="D23" s="786"/>
      <c r="E23" s="786"/>
      <c r="F23" s="746"/>
      <c r="G23" s="746"/>
      <c r="H23" s="746"/>
      <c r="I23"/>
    </row>
    <row r="24" spans="1:16" ht="6" customHeight="1">
      <c r="A24" s="40"/>
      <c r="B24" s="40"/>
      <c r="C24" s="786"/>
      <c r="D24" s="786"/>
      <c r="E24" s="786"/>
      <c r="F24" s="746"/>
      <c r="G24" s="746"/>
      <c r="H24" s="746"/>
      <c r="I24"/>
    </row>
    <row r="25" spans="1:16" ht="179.25" hidden="1" customHeight="1">
      <c r="A25" s="40"/>
      <c r="B25" s="40"/>
      <c r="C25" s="131"/>
      <c r="D25" s="131"/>
      <c r="E25" s="131"/>
      <c r="F25" s="125"/>
      <c r="G25" s="125"/>
      <c r="H25" s="125"/>
      <c r="I25"/>
    </row>
    <row r="26" spans="1:16" ht="23.25">
      <c r="A26" s="727" t="s">
        <v>77</v>
      </c>
      <c r="B26" s="727"/>
      <c r="C26" s="727"/>
      <c r="D26" s="727"/>
      <c r="E26" s="727"/>
      <c r="F26" s="727"/>
      <c r="G26" s="727"/>
      <c r="H26" s="13"/>
    </row>
    <row r="27" spans="1:16" ht="10.5" customHeight="1">
      <c r="A27" s="13"/>
      <c r="B27" s="13"/>
      <c r="C27" s="13"/>
      <c r="D27" s="13"/>
      <c r="E27" s="13"/>
      <c r="F27" s="13"/>
      <c r="G27" s="13"/>
      <c r="H27" s="13"/>
    </row>
    <row r="28" spans="1:16" ht="23.25" customHeight="1">
      <c r="A28" s="745" t="s">
        <v>4</v>
      </c>
      <c r="B28" s="745"/>
      <c r="C28" s="745"/>
      <c r="D28" s="745" t="s">
        <v>2</v>
      </c>
      <c r="E28" s="759" t="s">
        <v>0</v>
      </c>
      <c r="F28" s="759"/>
      <c r="G28" s="759"/>
      <c r="H28" s="759"/>
      <c r="I28" s="776"/>
      <c r="J28" s="16"/>
    </row>
    <row r="29" spans="1:16" ht="21.75">
      <c r="A29" s="745"/>
      <c r="B29" s="745"/>
      <c r="C29" s="745"/>
      <c r="D29" s="745"/>
      <c r="E29" s="119">
        <v>2554</v>
      </c>
      <c r="F29" s="119">
        <v>2555</v>
      </c>
      <c r="G29" s="119">
        <v>2556</v>
      </c>
      <c r="H29" s="106" t="s">
        <v>1</v>
      </c>
      <c r="I29" s="776"/>
      <c r="J29" s="16"/>
    </row>
    <row r="30" spans="1:16" ht="23.25">
      <c r="A30" s="20">
        <v>1</v>
      </c>
      <c r="B30" s="736" t="s">
        <v>50</v>
      </c>
      <c r="C30" s="737"/>
      <c r="D30" s="28" t="s">
        <v>3</v>
      </c>
      <c r="E30" s="237">
        <f>+E31+E35+E39+E43</f>
        <v>0</v>
      </c>
      <c r="F30" s="237">
        <f>+F31+F35+F39+F43</f>
        <v>0</v>
      </c>
      <c r="G30" s="237">
        <f>+G31+G35+G39+G43</f>
        <v>0</v>
      </c>
      <c r="H30" s="237">
        <f t="shared" ref="H30:H46" si="0">SUM(E30:G30)</f>
        <v>0</v>
      </c>
      <c r="I30" s="109"/>
      <c r="J30" s="16"/>
    </row>
    <row r="31" spans="1:16" ht="23.25">
      <c r="A31" s="57">
        <v>2</v>
      </c>
      <c r="B31" s="782" t="s">
        <v>53</v>
      </c>
      <c r="C31" s="783"/>
      <c r="D31" s="58" t="s">
        <v>3</v>
      </c>
      <c r="E31" s="244">
        <f>+E32+E33+E34</f>
        <v>0</v>
      </c>
      <c r="F31" s="244">
        <f>+F32+F33+F34</f>
        <v>0</v>
      </c>
      <c r="G31" s="244">
        <f>+G32+G33+G34</f>
        <v>0</v>
      </c>
      <c r="H31" s="244">
        <f t="shared" si="0"/>
        <v>0</v>
      </c>
      <c r="I31" s="109"/>
      <c r="J31" s="50"/>
    </row>
    <row r="32" spans="1:16" ht="23.25">
      <c r="A32" s="56"/>
      <c r="B32" s="104">
        <v>2.1</v>
      </c>
      <c r="C32" s="105" t="s">
        <v>54</v>
      </c>
      <c r="D32" s="28" t="s">
        <v>3</v>
      </c>
      <c r="E32" s="237">
        <f>'2.2'!E30</f>
        <v>0</v>
      </c>
      <c r="F32" s="237">
        <f>'2.2'!F30</f>
        <v>0</v>
      </c>
      <c r="G32" s="237">
        <f>'2.2'!G30</f>
        <v>0</v>
      </c>
      <c r="H32" s="237">
        <f t="shared" si="0"/>
        <v>0</v>
      </c>
      <c r="I32" s="110"/>
      <c r="J32" s="16"/>
      <c r="P32" s="16">
        <v>0</v>
      </c>
    </row>
    <row r="33" spans="1:16" ht="23.25">
      <c r="A33" s="56"/>
      <c r="B33" s="104">
        <v>2.2000000000000002</v>
      </c>
      <c r="C33" s="105" t="s">
        <v>56</v>
      </c>
      <c r="D33" s="28" t="s">
        <v>3</v>
      </c>
      <c r="E33" s="237">
        <f>'2.2'!E31</f>
        <v>0</v>
      </c>
      <c r="F33" s="237">
        <f>'2.2'!F31</f>
        <v>0</v>
      </c>
      <c r="G33" s="237">
        <f>'2.2'!G31</f>
        <v>0</v>
      </c>
      <c r="H33" s="237">
        <f t="shared" si="0"/>
        <v>0</v>
      </c>
      <c r="I33" s="110"/>
      <c r="J33" s="16"/>
      <c r="P33" s="16">
        <v>2</v>
      </c>
    </row>
    <row r="34" spans="1:16" ht="23.25">
      <c r="A34" s="55"/>
      <c r="B34" s="104">
        <v>2.2999999999999998</v>
      </c>
      <c r="C34" s="105" t="s">
        <v>55</v>
      </c>
      <c r="D34" s="28" t="s">
        <v>3</v>
      </c>
      <c r="E34" s="237">
        <f>'2.2'!E32</f>
        <v>0</v>
      </c>
      <c r="F34" s="237">
        <f>'2.2'!F32</f>
        <v>0</v>
      </c>
      <c r="G34" s="237">
        <f>'2.2'!G32</f>
        <v>0</v>
      </c>
      <c r="H34" s="237">
        <f t="shared" si="0"/>
        <v>0</v>
      </c>
      <c r="I34" s="110"/>
      <c r="J34" s="16"/>
      <c r="P34" s="16">
        <v>5</v>
      </c>
    </row>
    <row r="35" spans="1:16" ht="23.25">
      <c r="A35" s="57">
        <v>3</v>
      </c>
      <c r="B35" s="782" t="s">
        <v>57</v>
      </c>
      <c r="C35" s="783"/>
      <c r="D35" s="58" t="s">
        <v>3</v>
      </c>
      <c r="E35" s="244">
        <f>+E36+E37+E38</f>
        <v>0</v>
      </c>
      <c r="F35" s="244">
        <f>+F36+F37+F38</f>
        <v>0</v>
      </c>
      <c r="G35" s="244">
        <f>+G36+G37+G38</f>
        <v>0</v>
      </c>
      <c r="H35" s="244">
        <f t="shared" si="0"/>
        <v>0</v>
      </c>
      <c r="I35" s="110"/>
      <c r="J35" s="16"/>
      <c r="P35" s="16"/>
    </row>
    <row r="36" spans="1:16" ht="23.25">
      <c r="A36" s="56"/>
      <c r="B36" s="25">
        <v>3.1</v>
      </c>
      <c r="C36" s="26" t="s">
        <v>54</v>
      </c>
      <c r="D36" s="28" t="s">
        <v>3</v>
      </c>
      <c r="E36" s="237">
        <f>'2.2'!E34</f>
        <v>0</v>
      </c>
      <c r="F36" s="237">
        <f>'2.2'!F34</f>
        <v>0</v>
      </c>
      <c r="G36" s="237">
        <f>'2.2'!G34</f>
        <v>0</v>
      </c>
      <c r="H36" s="237">
        <f t="shared" si="0"/>
        <v>0</v>
      </c>
      <c r="I36" s="110"/>
      <c r="J36" s="16"/>
      <c r="P36" s="16">
        <v>1</v>
      </c>
    </row>
    <row r="37" spans="1:16" ht="23.25">
      <c r="A37" s="56"/>
      <c r="B37" s="25">
        <v>3.2</v>
      </c>
      <c r="C37" s="26" t="s">
        <v>58</v>
      </c>
      <c r="D37" s="28" t="s">
        <v>3</v>
      </c>
      <c r="E37" s="237">
        <f>'2.2'!E35</f>
        <v>0</v>
      </c>
      <c r="F37" s="237">
        <f>'2.2'!F35</f>
        <v>0</v>
      </c>
      <c r="G37" s="237">
        <f>'2.2'!G35</f>
        <v>0</v>
      </c>
      <c r="H37" s="237">
        <f t="shared" si="0"/>
        <v>0</v>
      </c>
      <c r="I37" s="110"/>
      <c r="J37" s="16"/>
      <c r="P37" s="16">
        <v>3</v>
      </c>
    </row>
    <row r="38" spans="1:16" ht="23.25">
      <c r="A38" s="55"/>
      <c r="B38" s="27">
        <v>3.3</v>
      </c>
      <c r="C38" s="26" t="s">
        <v>55</v>
      </c>
      <c r="D38" s="28" t="s">
        <v>3</v>
      </c>
      <c r="E38" s="237">
        <f>'2.2'!E36</f>
        <v>0</v>
      </c>
      <c r="F38" s="237">
        <f>'2.2'!F36</f>
        <v>0</v>
      </c>
      <c r="G38" s="237">
        <f>'2.2'!G36</f>
        <v>0</v>
      </c>
      <c r="H38" s="237">
        <f t="shared" si="0"/>
        <v>0</v>
      </c>
      <c r="I38" s="110"/>
      <c r="J38" s="16"/>
      <c r="P38" s="16">
        <v>6</v>
      </c>
    </row>
    <row r="39" spans="1:16" ht="23.25">
      <c r="A39" s="59">
        <v>4</v>
      </c>
      <c r="B39" s="60" t="s">
        <v>59</v>
      </c>
      <c r="C39" s="61"/>
      <c r="D39" s="58" t="s">
        <v>3</v>
      </c>
      <c r="E39" s="244">
        <f>+E40+E41+E42</f>
        <v>0</v>
      </c>
      <c r="F39" s="244">
        <f>+F40+F41+F42</f>
        <v>0</v>
      </c>
      <c r="G39" s="244">
        <f>+G40+G41+G42</f>
        <v>0</v>
      </c>
      <c r="H39" s="244">
        <f t="shared" si="0"/>
        <v>0</v>
      </c>
      <c r="I39" s="110"/>
      <c r="J39" s="16"/>
      <c r="P39" s="16"/>
    </row>
    <row r="40" spans="1:16" ht="23.25">
      <c r="A40" s="56"/>
      <c r="B40" s="25">
        <v>4.0999999999999996</v>
      </c>
      <c r="C40" s="26" t="s">
        <v>54</v>
      </c>
      <c r="D40" s="28" t="s">
        <v>3</v>
      </c>
      <c r="E40" s="237">
        <f>'2.2'!E38</f>
        <v>0</v>
      </c>
      <c r="F40" s="237">
        <f>'2.2'!F38</f>
        <v>0</v>
      </c>
      <c r="G40" s="237">
        <f>'2.2'!G38</f>
        <v>0</v>
      </c>
      <c r="H40" s="237">
        <f t="shared" si="0"/>
        <v>0</v>
      </c>
      <c r="I40" s="110"/>
      <c r="J40" s="16"/>
      <c r="P40" s="16">
        <v>3</v>
      </c>
    </row>
    <row r="41" spans="1:16" ht="23.25">
      <c r="A41" s="56"/>
      <c r="B41" s="25">
        <v>4.2</v>
      </c>
      <c r="C41" s="26" t="s">
        <v>58</v>
      </c>
      <c r="D41" s="28" t="s">
        <v>3</v>
      </c>
      <c r="E41" s="237">
        <f>'2.2'!E39</f>
        <v>0</v>
      </c>
      <c r="F41" s="237">
        <f>'2.2'!F39</f>
        <v>0</v>
      </c>
      <c r="G41" s="237">
        <f>'2.2'!G39</f>
        <v>0</v>
      </c>
      <c r="H41" s="237">
        <f t="shared" si="0"/>
        <v>0</v>
      </c>
      <c r="I41" s="110"/>
      <c r="J41" s="16"/>
      <c r="P41" s="16">
        <v>5</v>
      </c>
    </row>
    <row r="42" spans="1:16" ht="23.25">
      <c r="A42" s="55"/>
      <c r="B42" s="27">
        <v>4.3</v>
      </c>
      <c r="C42" s="26" t="s">
        <v>55</v>
      </c>
      <c r="D42" s="28" t="s">
        <v>3</v>
      </c>
      <c r="E42" s="237">
        <f>'2.2'!E40</f>
        <v>0</v>
      </c>
      <c r="F42" s="237">
        <f>'2.2'!F40</f>
        <v>0</v>
      </c>
      <c r="G42" s="237">
        <f>'2.2'!G40</f>
        <v>0</v>
      </c>
      <c r="H42" s="237">
        <f t="shared" si="0"/>
        <v>0</v>
      </c>
      <c r="I42" s="110"/>
      <c r="J42" s="16"/>
      <c r="P42" s="16">
        <v>8</v>
      </c>
    </row>
    <row r="43" spans="1:16" ht="23.25">
      <c r="A43" s="59">
        <v>5</v>
      </c>
      <c r="B43" s="60" t="s">
        <v>65</v>
      </c>
      <c r="C43" s="61"/>
      <c r="D43" s="58" t="s">
        <v>3</v>
      </c>
      <c r="E43" s="244">
        <f>+E44+E45+E46</f>
        <v>0</v>
      </c>
      <c r="F43" s="244">
        <f>+F44+F45+F46</f>
        <v>0</v>
      </c>
      <c r="G43" s="244">
        <f>+G44+G45+G46</f>
        <v>0</v>
      </c>
      <c r="H43" s="244">
        <f t="shared" si="0"/>
        <v>0</v>
      </c>
      <c r="I43" s="110"/>
      <c r="J43" s="16"/>
      <c r="P43" s="16"/>
    </row>
    <row r="44" spans="1:16" ht="23.25">
      <c r="A44" s="56"/>
      <c r="B44" s="25">
        <v>5.0999999999999996</v>
      </c>
      <c r="C44" s="26" t="s">
        <v>54</v>
      </c>
      <c r="D44" s="28" t="s">
        <v>3</v>
      </c>
      <c r="E44" s="237">
        <f>'2.2'!E42</f>
        <v>0</v>
      </c>
      <c r="F44" s="237">
        <f>'2.2'!F42</f>
        <v>0</v>
      </c>
      <c r="G44" s="237">
        <f>'2.2'!G42</f>
        <v>0</v>
      </c>
      <c r="H44" s="237">
        <f t="shared" si="0"/>
        <v>0</v>
      </c>
      <c r="I44" s="110"/>
      <c r="J44" s="16"/>
      <c r="P44" s="16">
        <v>6</v>
      </c>
    </row>
    <row r="45" spans="1:16" ht="23.25">
      <c r="A45" s="56"/>
      <c r="B45" s="25">
        <v>5.2</v>
      </c>
      <c r="C45" s="26" t="s">
        <v>58</v>
      </c>
      <c r="D45" s="28" t="s">
        <v>3</v>
      </c>
      <c r="E45" s="237">
        <f>'2.2'!E43</f>
        <v>0</v>
      </c>
      <c r="F45" s="237">
        <f>'2.2'!F43</f>
        <v>0</v>
      </c>
      <c r="G45" s="237">
        <f>'2.2'!G43</f>
        <v>0</v>
      </c>
      <c r="H45" s="237">
        <f t="shared" si="0"/>
        <v>0</v>
      </c>
      <c r="I45" s="110"/>
      <c r="J45" s="16"/>
      <c r="P45" s="16">
        <v>8</v>
      </c>
    </row>
    <row r="46" spans="1:16" ht="23.25">
      <c r="A46" s="56"/>
      <c r="B46" s="25">
        <v>5.3</v>
      </c>
      <c r="C46" s="26" t="s">
        <v>55</v>
      </c>
      <c r="D46" s="28" t="s">
        <v>3</v>
      </c>
      <c r="E46" s="237">
        <f>'2.2'!E44</f>
        <v>0</v>
      </c>
      <c r="F46" s="237">
        <f>'2.2'!F44</f>
        <v>0</v>
      </c>
      <c r="G46" s="237">
        <f>'2.2'!G44</f>
        <v>0</v>
      </c>
      <c r="H46" s="237">
        <f t="shared" si="0"/>
        <v>0</v>
      </c>
      <c r="I46" s="110"/>
      <c r="J46" s="16"/>
      <c r="P46" s="16">
        <v>10</v>
      </c>
    </row>
    <row r="47" spans="1:16" ht="21.75">
      <c r="A47" s="62"/>
      <c r="B47" s="63"/>
      <c r="C47" s="63"/>
      <c r="D47" s="64"/>
      <c r="E47" s="65"/>
      <c r="F47" s="65"/>
      <c r="G47" s="65"/>
      <c r="H47" s="65"/>
    </row>
    <row r="48" spans="1:16" ht="21.75">
      <c r="A48" s="740" t="s">
        <v>951</v>
      </c>
      <c r="B48" s="740"/>
      <c r="C48" s="740"/>
      <c r="D48" s="37"/>
      <c r="E48" s="38"/>
      <c r="F48" s="38"/>
      <c r="G48" s="38"/>
      <c r="H48" s="39"/>
      <c r="I48"/>
    </row>
    <row r="49" spans="1:9" ht="18" customHeight="1">
      <c r="A49" s="40"/>
      <c r="B49" s="42"/>
      <c r="C49" s="755">
        <v>1</v>
      </c>
      <c r="D49" s="755"/>
      <c r="E49" s="755"/>
      <c r="F49" s="755"/>
      <c r="G49" s="755"/>
      <c r="H49" s="755"/>
      <c r="I49"/>
    </row>
    <row r="50" spans="1:9" ht="21.75">
      <c r="A50" s="35"/>
      <c r="B50" s="41"/>
      <c r="C50" s="755">
        <v>2</v>
      </c>
      <c r="D50" s="755"/>
      <c r="E50" s="755"/>
      <c r="F50" s="755"/>
      <c r="G50" s="755"/>
      <c r="H50" s="755"/>
      <c r="I50"/>
    </row>
    <row r="51" spans="1:9" ht="21.75">
      <c r="A51" s="35"/>
      <c r="B51" s="41"/>
      <c r="C51" s="755">
        <v>3</v>
      </c>
      <c r="D51" s="755"/>
      <c r="E51" s="755"/>
      <c r="F51" s="755"/>
      <c r="G51" s="755"/>
      <c r="H51" s="755"/>
      <c r="I51"/>
    </row>
  </sheetData>
  <mergeCells count="46">
    <mergeCell ref="I28:I29"/>
    <mergeCell ref="C49:H49"/>
    <mergeCell ref="C50:H50"/>
    <mergeCell ref="C51:H51"/>
    <mergeCell ref="F22:H22"/>
    <mergeCell ref="F24:H24"/>
    <mergeCell ref="A48:C48"/>
    <mergeCell ref="A21:E21"/>
    <mergeCell ref="F21:G21"/>
    <mergeCell ref="B35:C35"/>
    <mergeCell ref="A26:G26"/>
    <mergeCell ref="A28:C29"/>
    <mergeCell ref="D28:D29"/>
    <mergeCell ref="E28:H28"/>
    <mergeCell ref="B31:C31"/>
    <mergeCell ref="B30:C30"/>
    <mergeCell ref="C23:E23"/>
    <mergeCell ref="C24:E24"/>
    <mergeCell ref="F23:H23"/>
    <mergeCell ref="A14:G14"/>
    <mergeCell ref="A16:D16"/>
    <mergeCell ref="F16:G16"/>
    <mergeCell ref="B17:D17"/>
    <mergeCell ref="F17:G17"/>
    <mergeCell ref="B18:D18"/>
    <mergeCell ref="F18:G18"/>
    <mergeCell ref="B19:D19"/>
    <mergeCell ref="H17:H20"/>
    <mergeCell ref="F19:G19"/>
    <mergeCell ref="B20:D20"/>
    <mergeCell ref="F20:G20"/>
    <mergeCell ref="A1:H1"/>
    <mergeCell ref="A2:H2"/>
    <mergeCell ref="A3:H3"/>
    <mergeCell ref="A4:H4"/>
    <mergeCell ref="A8:G8"/>
    <mergeCell ref="G6:H6"/>
    <mergeCell ref="A10:D10"/>
    <mergeCell ref="F10:G10"/>
    <mergeCell ref="B11:D11"/>
    <mergeCell ref="F11:G11"/>
    <mergeCell ref="H11:H13"/>
    <mergeCell ref="B12:D12"/>
    <mergeCell ref="F12:G12"/>
    <mergeCell ref="B13:D13"/>
    <mergeCell ref="F13:G13"/>
  </mergeCells>
  <dataValidations count="3">
    <dataValidation type="list" errorStyle="information" allowBlank="1" showInputMessage="1" showErrorMessage="1" prompt="กรุณาเลือก" sqref="G6:H6">
      <formula1>$L$5:$L$8</formula1>
    </dataValidation>
    <dataValidation allowBlank="1" showInputMessage="1" showErrorMessage="1" prompt="กรุณาใส่ผลการดำเนินงานตามรายงานของหน่วยงาน" sqref="F23"/>
    <dataValidation allowBlank="1" showInputMessage="1" showErrorMessage="1" prompt="กรุณาใส่คะแนนตามที่หน่วยงานรายงาน_x000a_" sqref="F24:F25 G25"/>
  </dataValidations>
  <pageMargins left="0.4" right="0.19" top="0.75" bottom="0.75" header="0.3" footer="0.3"/>
  <pageSetup paperSize="9" orientation="portrait" r:id="rId1"/>
  <rowBreaks count="1" manualBreakCount="1">
    <brk id="2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A27"/>
  <sheetViews>
    <sheetView view="pageBreakPreview" zoomScale="90" zoomScaleNormal="80" zoomScaleSheetLayoutView="9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7.140625" style="78" customWidth="1"/>
    <col min="7" max="7" width="23.140625" style="85" customWidth="1"/>
    <col min="8" max="8" width="9.140625" style="78" customWidth="1"/>
    <col min="9" max="10" width="9.140625" style="78" hidden="1" customWidth="1"/>
    <col min="11" max="11" width="26.7109375" style="78" hidden="1" customWidth="1"/>
    <col min="12" max="17" width="9.140625" style="78" hidden="1" customWidth="1"/>
    <col min="18" max="18" width="5" style="78" customWidth="1"/>
    <col min="19" max="19" width="4.42578125" style="78" customWidth="1"/>
    <col min="20" max="20" width="4.5703125" style="78" customWidth="1"/>
    <col min="21" max="21" width="4.28515625" style="78" customWidth="1"/>
    <col min="22" max="22" width="4.42578125" style="78" customWidth="1"/>
    <col min="23" max="23" width="3.5703125" style="78" customWidth="1"/>
    <col min="24" max="24" width="3.7109375" style="78" customWidth="1"/>
    <col min="25" max="25" width="4.28515625" style="78" customWidth="1"/>
    <col min="26" max="26" width="3.140625" style="78" customWidth="1"/>
    <col min="27" max="27" width="7.42578125" style="78" customWidth="1"/>
    <col min="28" max="28" width="2.7109375" style="78" customWidth="1"/>
    <col min="29" max="16384" width="9.140625" style="78"/>
  </cols>
  <sheetData>
    <row r="1" spans="1:27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7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7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7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7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7" ht="23.25">
      <c r="A6" s="102" t="s">
        <v>163</v>
      </c>
      <c r="B6" s="79"/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7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7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R8" s="203" t="s">
        <v>219</v>
      </c>
      <c r="S8" s="203" t="s">
        <v>220</v>
      </c>
      <c r="T8" s="203" t="s">
        <v>221</v>
      </c>
      <c r="U8" s="203" t="s">
        <v>222</v>
      </c>
      <c r="V8" s="203" t="s">
        <v>223</v>
      </c>
      <c r="W8" s="203" t="s">
        <v>224</v>
      </c>
      <c r="X8" s="203" t="s">
        <v>225</v>
      </c>
      <c r="Y8" s="205"/>
      <c r="AA8" s="85" t="s">
        <v>60</v>
      </c>
    </row>
    <row r="9" spans="1:27" s="85" customFormat="1" ht="14.25" customHeight="1">
      <c r="A9" s="84"/>
      <c r="B9" s="83"/>
      <c r="C9" s="84"/>
      <c r="D9" s="142"/>
      <c r="E9" s="142"/>
      <c r="F9" s="84"/>
      <c r="G9" s="84"/>
      <c r="R9" s="199"/>
      <c r="S9" s="200"/>
      <c r="T9" s="200"/>
      <c r="U9" s="200"/>
      <c r="V9" s="200"/>
      <c r="W9" s="200"/>
      <c r="X9" s="201"/>
      <c r="Y9" s="198"/>
    </row>
    <row r="10" spans="1:27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R10" s="202">
        <f>+IF(G6&lt;&gt;"ประเมิน","",(COUNTIF(B16:B16,$J$1)))</f>
        <v>0</v>
      </c>
      <c r="S10" s="202">
        <f>+IF(G6&lt;&gt;"ประเมิน","",(COUNTIF(B17:B17,$J$1)))</f>
        <v>0</v>
      </c>
      <c r="T10" s="202">
        <f>+IF(G6&lt;&gt;"ประเมิน","",(COUNTIF(B18:B18,$J$1)))</f>
        <v>0</v>
      </c>
      <c r="U10" s="202">
        <f>+IF(G6&lt;&gt;"ประเมิน","",(COUNTIF(B23:B23,$J$1)))</f>
        <v>0</v>
      </c>
      <c r="V10" s="202">
        <f>+IF(G6&lt;&gt;"ประเมิน","",(COUNTIF(B24:B24,$J$1)))</f>
        <v>0</v>
      </c>
      <c r="W10" s="202">
        <f>+IF(G6&lt;&gt;"ประเมิน","",(COUNTIF(B25:B25,$J$1)))</f>
        <v>0</v>
      </c>
      <c r="X10" s="202">
        <f>+IF(G6&lt;&gt;"ประเมิน","",(COUNTIF(B26:B26,$J$1)))</f>
        <v>0</v>
      </c>
      <c r="Y10" s="206"/>
      <c r="Z10" s="197"/>
      <c r="AA10" s="204">
        <f>SUM(R10:Y10)</f>
        <v>0</v>
      </c>
    </row>
    <row r="11" spans="1:27" s="89" customFormat="1" ht="30.75" customHeight="1">
      <c r="B11" s="96"/>
      <c r="C11" s="101">
        <f>+IF(G6&lt;&gt;"ประเมิน",G6,(COUNTIF(B16:B26,$J$1)))</f>
        <v>0</v>
      </c>
      <c r="D11" s="92">
        <f>IF(G6&lt;&gt;"ประเมิน",G6,IF(C11&gt;6,5,IF(C11&gt;4,4,IF(C11&gt;2,3,IF(C11&gt;1,2,IF(C11&gt;0,1,0))))))</f>
        <v>0</v>
      </c>
      <c r="E11" s="731"/>
      <c r="F11" s="731"/>
      <c r="G11" s="158"/>
    </row>
    <row r="12" spans="1:27" s="85" customFormat="1" ht="9" customHeight="1">
      <c r="A12" s="53"/>
      <c r="B12" s="83"/>
      <c r="C12" s="84"/>
      <c r="D12" s="142"/>
      <c r="E12" s="142"/>
      <c r="F12" s="84"/>
      <c r="G12" s="84"/>
    </row>
    <row r="13" spans="1:27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7" s="85" customFormat="1" ht="5.25" customHeight="1">
      <c r="A14" s="84"/>
      <c r="B14" s="83"/>
      <c r="C14" s="84"/>
      <c r="D14" s="142"/>
      <c r="E14" s="142"/>
      <c r="F14" s="84"/>
      <c r="G14" s="84"/>
    </row>
    <row r="15" spans="1:27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7" s="87" customFormat="1" ht="150.75" customHeight="1">
      <c r="A16" s="100"/>
      <c r="B16" s="31" t="str">
        <f t="shared" ref="B16:B26" si="0">IF(G16="มีการดำเนินการ",$J$1, IF(A16=0,$J$2,$A$5))</f>
        <v>¨</v>
      </c>
      <c r="C16" s="86" t="s">
        <v>164</v>
      </c>
      <c r="D16" s="733"/>
      <c r="E16" s="734"/>
      <c r="F16" s="397"/>
      <c r="G16" s="378" t="s">
        <v>32</v>
      </c>
    </row>
    <row r="17" spans="1:7" s="87" customFormat="1" ht="136.5" customHeight="1">
      <c r="A17" s="100"/>
      <c r="B17" s="31" t="str">
        <f t="shared" si="0"/>
        <v>¨</v>
      </c>
      <c r="C17" s="86" t="s">
        <v>165</v>
      </c>
      <c r="D17" s="733"/>
      <c r="E17" s="734"/>
      <c r="F17" s="397"/>
      <c r="G17" s="378" t="s">
        <v>32</v>
      </c>
    </row>
    <row r="18" spans="1:7" s="87" customFormat="1" ht="144.75" customHeight="1">
      <c r="A18" s="100"/>
      <c r="B18" s="31" t="str">
        <f>IF(G18="มีการดำเนินการ",$J$1, IF(A18=0,$J$2,$A$5))</f>
        <v>¨</v>
      </c>
      <c r="C18" s="86" t="s">
        <v>166</v>
      </c>
      <c r="D18" s="733"/>
      <c r="E18" s="734"/>
      <c r="F18" s="397"/>
      <c r="G18" s="378" t="s">
        <v>32</v>
      </c>
    </row>
    <row r="19" spans="1:7" s="87" customFormat="1" ht="10.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41" t="s">
        <v>495</v>
      </c>
      <c r="G22" s="90" t="s">
        <v>60</v>
      </c>
    </row>
    <row r="23" spans="1:7" s="87" customFormat="1" ht="170.25" customHeight="1">
      <c r="A23" s="100"/>
      <c r="B23" s="31" t="str">
        <f t="shared" si="0"/>
        <v>¨</v>
      </c>
      <c r="C23" s="86" t="s">
        <v>167</v>
      </c>
      <c r="D23" s="733"/>
      <c r="E23" s="734"/>
      <c r="F23" s="397"/>
      <c r="G23" s="378" t="s">
        <v>32</v>
      </c>
    </row>
    <row r="24" spans="1:7" s="87" customFormat="1" ht="161.25" customHeight="1">
      <c r="A24" s="100"/>
      <c r="B24" s="31" t="str">
        <f t="shared" si="0"/>
        <v>¨</v>
      </c>
      <c r="C24" s="86" t="s">
        <v>168</v>
      </c>
      <c r="D24" s="733"/>
      <c r="E24" s="734"/>
      <c r="F24" s="397"/>
      <c r="G24" s="378" t="s">
        <v>32</v>
      </c>
    </row>
    <row r="25" spans="1:7" s="87" customFormat="1" ht="151.5" customHeight="1">
      <c r="A25" s="100"/>
      <c r="B25" s="31" t="str">
        <f t="shared" si="0"/>
        <v>¨</v>
      </c>
      <c r="C25" s="86" t="s">
        <v>169</v>
      </c>
      <c r="D25" s="733"/>
      <c r="E25" s="734"/>
      <c r="F25" s="397"/>
      <c r="G25" s="378" t="s">
        <v>32</v>
      </c>
    </row>
    <row r="26" spans="1:7" s="87" customFormat="1" ht="158.25" customHeight="1">
      <c r="A26" s="100"/>
      <c r="B26" s="31" t="str">
        <f t="shared" si="0"/>
        <v>¨</v>
      </c>
      <c r="C26" s="86" t="s">
        <v>170</v>
      </c>
      <c r="D26" s="733"/>
      <c r="E26" s="734"/>
      <c r="F26" s="397"/>
      <c r="G26" s="378" t="s">
        <v>32</v>
      </c>
    </row>
    <row r="27" spans="1:7" s="85" customFormat="1">
      <c r="B27" s="88"/>
      <c r="D27" s="144"/>
      <c r="E27" s="144"/>
    </row>
  </sheetData>
  <mergeCells count="18">
    <mergeCell ref="D26:E26"/>
    <mergeCell ref="E11:F11"/>
    <mergeCell ref="A13:G13"/>
    <mergeCell ref="D15:E15"/>
    <mergeCell ref="D16:E16"/>
    <mergeCell ref="D17:E17"/>
    <mergeCell ref="D18:E18"/>
    <mergeCell ref="A20:G20"/>
    <mergeCell ref="D22:E22"/>
    <mergeCell ref="D23:E23"/>
    <mergeCell ref="D24:E24"/>
    <mergeCell ref="D25:E25"/>
    <mergeCell ref="E10:F10"/>
    <mergeCell ref="A1:G1"/>
    <mergeCell ref="A2:G2"/>
    <mergeCell ref="A3:G3"/>
    <mergeCell ref="A4:G4"/>
    <mergeCell ref="A8:G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9 G23:G26">
      <formula1>$K$1:$K$3</formula1>
    </dataValidation>
  </dataValidations>
  <pageMargins left="0.31496062992125984" right="0.27559055118110237" top="0.74803149606299213" bottom="0.74803149606299213" header="0.31496062992125984" footer="0.31496062992125984"/>
  <pageSetup paperSize="9" orientation="landscape" r:id="rId1"/>
  <rowBreaks count="1" manualBreakCount="1">
    <brk id="18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A27"/>
  <sheetViews>
    <sheetView view="pageBreakPreview" zoomScale="90" zoomScaleNormal="80" zoomScaleSheetLayoutView="9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20.140625" style="145" customWidth="1"/>
    <col min="6" max="6" width="38" style="78" customWidth="1"/>
    <col min="7" max="7" width="23.140625" style="85" customWidth="1"/>
    <col min="8" max="8" width="9.140625" style="78" customWidth="1"/>
    <col min="9" max="10" width="9.140625" style="78" hidden="1" customWidth="1"/>
    <col min="11" max="11" width="26.7109375" style="78" hidden="1" customWidth="1"/>
    <col min="12" max="17" width="9.140625" style="78" hidden="1" customWidth="1"/>
    <col min="18" max="18" width="4.7109375" style="78" customWidth="1"/>
    <col min="19" max="19" width="4.5703125" style="78" customWidth="1"/>
    <col min="20" max="20" width="4.7109375" style="78" customWidth="1"/>
    <col min="21" max="21" width="4.5703125" style="78" customWidth="1"/>
    <col min="22" max="22" width="4.28515625" style="78" customWidth="1"/>
    <col min="23" max="23" width="4.5703125" style="78" customWidth="1"/>
    <col min="24" max="24" width="4.42578125" style="78" customWidth="1"/>
    <col min="25" max="25" width="1.7109375" style="78" customWidth="1"/>
    <col min="26" max="26" width="1.28515625" style="78" customWidth="1"/>
    <col min="27" max="27" width="6.140625" style="78" customWidth="1"/>
    <col min="28" max="28" width="5.5703125" style="78" customWidth="1"/>
    <col min="29" max="16384" width="9.140625" style="78"/>
  </cols>
  <sheetData>
    <row r="1" spans="1:27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7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7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7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7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7" ht="23.25">
      <c r="A6" s="102" t="s">
        <v>171</v>
      </c>
      <c r="B6" s="79"/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7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7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R8" s="203" t="s">
        <v>219</v>
      </c>
      <c r="S8" s="203" t="s">
        <v>220</v>
      </c>
      <c r="T8" s="203" t="s">
        <v>221</v>
      </c>
      <c r="U8" s="203" t="s">
        <v>222</v>
      </c>
      <c r="V8" s="203" t="s">
        <v>223</v>
      </c>
      <c r="W8" s="203" t="s">
        <v>224</v>
      </c>
      <c r="X8" s="203" t="s">
        <v>225</v>
      </c>
      <c r="Y8" s="205"/>
      <c r="AA8" s="85" t="s">
        <v>60</v>
      </c>
    </row>
    <row r="9" spans="1:27" s="85" customFormat="1" ht="14.25" customHeight="1">
      <c r="A9" s="84"/>
      <c r="B9" s="83"/>
      <c r="C9" s="84"/>
      <c r="D9" s="142"/>
      <c r="E9" s="142"/>
      <c r="F9" s="84"/>
      <c r="G9" s="84"/>
      <c r="R9" s="199"/>
      <c r="S9" s="200"/>
      <c r="T9" s="200"/>
      <c r="U9" s="200"/>
      <c r="V9" s="200"/>
      <c r="W9" s="200"/>
      <c r="X9" s="201"/>
      <c r="Y9" s="198"/>
    </row>
    <row r="10" spans="1:27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R10" s="202">
        <f>+IF(G6&lt;&gt;"ประเมิน","",(COUNTIF(B16:B16,$J$1)))</f>
        <v>0</v>
      </c>
      <c r="S10" s="202">
        <f>+IF(G6&lt;&gt;"ประเมิน","",(COUNTIF(B17:B17,$J$1)))</f>
        <v>0</v>
      </c>
      <c r="T10" s="202">
        <f>+IF(G6&lt;&gt;"ประเมิน","",(COUNTIF(B18:B18,$J$1)))</f>
        <v>0</v>
      </c>
      <c r="U10" s="202">
        <f>+IF(G6&lt;&gt;"ประเมิน","",(COUNTIF(B23:B23,$J$1)))</f>
        <v>0</v>
      </c>
      <c r="V10" s="202">
        <f>+IF(G6&lt;&gt;"ประเมิน","",(COUNTIF(B24:B24,$J$1)))</f>
        <v>0</v>
      </c>
      <c r="W10" s="202">
        <f>+IF(G6&lt;&gt;"ประเมิน","",(COUNTIF(B25:B25,$J$1)))</f>
        <v>0</v>
      </c>
      <c r="X10" s="202">
        <f>+IF(G6&lt;&gt;"ประเมิน","",(COUNTIF(B26:B26,$J$1)))</f>
        <v>0</v>
      </c>
      <c r="Y10" s="206"/>
      <c r="Z10" s="197"/>
      <c r="AA10" s="204">
        <f>SUM(R10:Y10)</f>
        <v>0</v>
      </c>
    </row>
    <row r="11" spans="1:27" s="89" customFormat="1" ht="30.75" customHeight="1">
      <c r="B11" s="96"/>
      <c r="C11" s="101">
        <f>+IF(G6&lt;&gt;"ประเมิน",G6,(COUNTIF(B16:B26,$J$1)))</f>
        <v>0</v>
      </c>
      <c r="D11" s="92">
        <f>IF(G6&lt;&gt;"ประเมิน",G6,IF(C11&gt;6,5,IF(C11&gt;5,4,IF(C11&gt;3,3,IF(C11&gt;1,2,IF(C11&gt;0,1,0))))))</f>
        <v>0</v>
      </c>
      <c r="E11" s="731"/>
      <c r="F11" s="731"/>
      <c r="G11" s="158"/>
    </row>
    <row r="12" spans="1:27" s="85" customFormat="1" ht="9" customHeight="1">
      <c r="A12" s="53"/>
      <c r="B12" s="83"/>
      <c r="C12" s="84"/>
      <c r="D12" s="142"/>
      <c r="E12" s="142"/>
      <c r="F12" s="84"/>
      <c r="G12" s="84"/>
    </row>
    <row r="13" spans="1:27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7" s="85" customFormat="1" ht="5.25" customHeight="1">
      <c r="A14" s="84"/>
      <c r="B14" s="83"/>
      <c r="C14" s="84"/>
      <c r="D14" s="142"/>
      <c r="E14" s="142"/>
      <c r="F14" s="84"/>
      <c r="G14" s="84"/>
    </row>
    <row r="15" spans="1:27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7" s="87" customFormat="1" ht="150.75" customHeight="1">
      <c r="A16" s="100"/>
      <c r="B16" s="31" t="str">
        <f t="shared" ref="B16:B26" si="0">IF(G16="มีการดำเนินการ",$J$1, IF(A16=0,$J$2,$A$5))</f>
        <v>¨</v>
      </c>
      <c r="C16" s="86" t="s">
        <v>172</v>
      </c>
      <c r="D16" s="733"/>
      <c r="E16" s="734"/>
      <c r="F16" s="397"/>
      <c r="G16" s="378" t="s">
        <v>32</v>
      </c>
    </row>
    <row r="17" spans="1:7" s="87" customFormat="1" ht="136.5" customHeight="1">
      <c r="A17" s="100"/>
      <c r="B17" s="31" t="str">
        <f t="shared" si="0"/>
        <v>¨</v>
      </c>
      <c r="C17" s="86" t="s">
        <v>173</v>
      </c>
      <c r="D17" s="733"/>
      <c r="E17" s="734"/>
      <c r="F17" s="397"/>
      <c r="G17" s="378" t="s">
        <v>32</v>
      </c>
    </row>
    <row r="18" spans="1:7" s="87" customFormat="1" ht="144.75" customHeight="1">
      <c r="A18" s="100"/>
      <c r="B18" s="31" t="str">
        <f>IF(G18="มีการดำเนินการ",$J$1, IF(A18=0,$J$2,$A$5))</f>
        <v>¨</v>
      </c>
      <c r="C18" s="86" t="s">
        <v>174</v>
      </c>
      <c r="D18" s="733"/>
      <c r="E18" s="734"/>
      <c r="F18" s="397"/>
      <c r="G18" s="378" t="s">
        <v>32</v>
      </c>
    </row>
    <row r="19" spans="1:7" s="87" customFormat="1" ht="10.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41" t="s">
        <v>495</v>
      </c>
      <c r="G22" s="90" t="s">
        <v>60</v>
      </c>
    </row>
    <row r="23" spans="1:7" s="87" customFormat="1" ht="170.25" customHeight="1">
      <c r="A23" s="100"/>
      <c r="B23" s="31" t="str">
        <f t="shared" si="0"/>
        <v>¨</v>
      </c>
      <c r="C23" s="86" t="s">
        <v>175</v>
      </c>
      <c r="D23" s="733"/>
      <c r="E23" s="734"/>
      <c r="F23" s="397"/>
      <c r="G23" s="378" t="s">
        <v>32</v>
      </c>
    </row>
    <row r="24" spans="1:7" s="87" customFormat="1" ht="161.25" customHeight="1">
      <c r="A24" s="100"/>
      <c r="B24" s="31" t="str">
        <f t="shared" si="0"/>
        <v>¨</v>
      </c>
      <c r="C24" s="86" t="s">
        <v>176</v>
      </c>
      <c r="D24" s="733"/>
      <c r="E24" s="734"/>
      <c r="F24" s="397"/>
      <c r="G24" s="378" t="s">
        <v>32</v>
      </c>
    </row>
    <row r="25" spans="1:7" s="87" customFormat="1" ht="151.5" customHeight="1">
      <c r="A25" s="100"/>
      <c r="B25" s="31" t="str">
        <f t="shared" si="0"/>
        <v>¨</v>
      </c>
      <c r="C25" s="86" t="s">
        <v>177</v>
      </c>
      <c r="D25" s="733"/>
      <c r="E25" s="734"/>
      <c r="F25" s="397"/>
      <c r="G25" s="378" t="s">
        <v>32</v>
      </c>
    </row>
    <row r="26" spans="1:7" s="87" customFormat="1" ht="158.25" customHeight="1">
      <c r="A26" s="100"/>
      <c r="B26" s="31" t="str">
        <f t="shared" si="0"/>
        <v>¨</v>
      </c>
      <c r="C26" s="86" t="s">
        <v>178</v>
      </c>
      <c r="D26" s="733"/>
      <c r="E26" s="734"/>
      <c r="F26" s="397"/>
      <c r="G26" s="378" t="s">
        <v>32</v>
      </c>
    </row>
    <row r="27" spans="1:7" s="85" customFormat="1">
      <c r="B27" s="88"/>
      <c r="D27" s="144"/>
      <c r="E27" s="144"/>
    </row>
  </sheetData>
  <mergeCells count="18">
    <mergeCell ref="D26:E26"/>
    <mergeCell ref="E11:F11"/>
    <mergeCell ref="A13:G13"/>
    <mergeCell ref="D15:E15"/>
    <mergeCell ref="D16:E16"/>
    <mergeCell ref="D17:E17"/>
    <mergeCell ref="D18:E18"/>
    <mergeCell ref="A20:G20"/>
    <mergeCell ref="D22:E22"/>
    <mergeCell ref="D23:E23"/>
    <mergeCell ref="D24:E24"/>
    <mergeCell ref="D25:E25"/>
    <mergeCell ref="E10:F10"/>
    <mergeCell ref="A1:G1"/>
    <mergeCell ref="A2:G2"/>
    <mergeCell ref="A3:G3"/>
    <mergeCell ref="A4:G4"/>
    <mergeCell ref="A8:G8"/>
  </mergeCells>
  <dataValidations count="2">
    <dataValidation type="list" allowBlank="1" showInputMessage="1" showErrorMessage="1" sqref="G16:G19 G23:G26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1496062992125984" right="0.27559055118110237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7"/>
  <sheetViews>
    <sheetView view="pageBreakPreview" zoomScaleNormal="80" zoomScaleSheetLayoutView="100" workbookViewId="0">
      <selection activeCell="T15" sqref="T15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5.140625" style="78" customWidth="1"/>
    <col min="7" max="7" width="23.140625" style="85" customWidth="1"/>
    <col min="8" max="8" width="9.140625" style="78" customWidth="1"/>
    <col min="9" max="10" width="9.140625" style="78" hidden="1" customWidth="1"/>
    <col min="11" max="11" width="26.7109375" style="78" hidden="1" customWidth="1"/>
    <col min="12" max="17" width="9.140625" style="78" hidden="1" customWidth="1"/>
    <col min="18" max="18" width="4.28515625" style="78" customWidth="1"/>
    <col min="19" max="19" width="4.5703125" style="78" customWidth="1"/>
    <col min="20" max="20" width="4.42578125" style="78" customWidth="1"/>
    <col min="21" max="21" width="4.5703125" style="78" customWidth="1"/>
    <col min="22" max="22" width="4.85546875" style="78" customWidth="1"/>
    <col min="23" max="23" width="4.7109375" style="78" customWidth="1"/>
    <col min="24" max="24" width="4.42578125" style="78" customWidth="1"/>
    <col min="25" max="25" width="3.85546875" style="78" customWidth="1"/>
    <col min="26" max="26" width="1.28515625" style="78" customWidth="1"/>
    <col min="27" max="27" width="4.7109375" style="78" customWidth="1"/>
    <col min="28" max="28" width="1" style="78" customWidth="1"/>
    <col min="29" max="29" width="4.7109375" style="78" customWidth="1"/>
    <col min="30" max="16384" width="9.140625" style="78"/>
  </cols>
  <sheetData>
    <row r="1" spans="1:27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7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7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7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7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7" ht="23.25">
      <c r="A6" s="102" t="s">
        <v>120</v>
      </c>
      <c r="B6" s="79"/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7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7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R8" s="203" t="s">
        <v>219</v>
      </c>
      <c r="S8" s="203" t="s">
        <v>220</v>
      </c>
      <c r="T8" s="203" t="s">
        <v>221</v>
      </c>
      <c r="U8" s="203" t="s">
        <v>222</v>
      </c>
      <c r="V8" s="203" t="s">
        <v>223</v>
      </c>
      <c r="W8" s="203" t="s">
        <v>224</v>
      </c>
      <c r="X8" s="203" t="s">
        <v>225</v>
      </c>
      <c r="Y8" s="205"/>
      <c r="AA8" s="85" t="s">
        <v>60</v>
      </c>
    </row>
    <row r="9" spans="1:27" s="85" customFormat="1" ht="14.25" customHeight="1">
      <c r="A9" s="84"/>
      <c r="B9" s="83"/>
      <c r="C9" s="84"/>
      <c r="D9" s="142"/>
      <c r="E9" s="142"/>
      <c r="F9" s="84"/>
      <c r="G9" s="84"/>
      <c r="R9" s="199"/>
      <c r="S9" s="200"/>
      <c r="T9" s="200"/>
      <c r="U9" s="200"/>
      <c r="V9" s="200"/>
      <c r="W9" s="200"/>
      <c r="X9" s="201"/>
      <c r="Y9" s="198"/>
    </row>
    <row r="10" spans="1:27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R10" s="202">
        <f>+IF(G6&lt;&gt;"ประเมิน","",(COUNTIF(B16:B16,$J$1)))</f>
        <v>0</v>
      </c>
      <c r="S10" s="202">
        <f>+IF(G6&lt;&gt;"ประเมิน","",(COUNTIF(B17:B17,$J$1)))</f>
        <v>0</v>
      </c>
      <c r="T10" s="202">
        <f>+IF(G6&lt;&gt;"ประเมิน","",(COUNTIF(B18:B18,$J$1)))</f>
        <v>0</v>
      </c>
      <c r="U10" s="202">
        <f>+IF(G6&lt;&gt;"ประเมิน","",(COUNTIF(B23:B23,$J$1)))</f>
        <v>0</v>
      </c>
      <c r="V10" s="202">
        <f>+IF(G6&lt;&gt;"ประเมิน","",(COUNTIF(B24:B24,$J$1)))</f>
        <v>0</v>
      </c>
      <c r="W10" s="202">
        <f>+IF(G6&lt;&gt;"ประเมิน","",(COUNTIF(B25:B25,$J$1)))</f>
        <v>0</v>
      </c>
      <c r="X10" s="202">
        <f>+IF(G6&lt;&gt;"ประเมิน","",(COUNTIF(B26:B26,$J$1)))</f>
        <v>0</v>
      </c>
      <c r="Y10" s="206"/>
      <c r="Z10" s="197"/>
      <c r="AA10" s="204">
        <f>SUM(R10:Y10)</f>
        <v>0</v>
      </c>
    </row>
    <row r="11" spans="1:27" s="89" customFormat="1" ht="30.75" customHeight="1">
      <c r="B11" s="96"/>
      <c r="C11" s="101">
        <f>+IF(G6&lt;&gt;"ประเมิน",G6,(COUNTIF(B16:B26,$J$1)))</f>
        <v>0</v>
      </c>
      <c r="D11" s="92">
        <f>IF(G6&lt;&gt;"ประเมิน",G6,IF(C11&gt;6,5,IF(C11&gt;5,4,IF(C11&gt;3,3,IF(C11&gt;1,2,IF(C11&gt;0,1,0))))))</f>
        <v>0</v>
      </c>
      <c r="E11" s="731"/>
      <c r="F11" s="731"/>
      <c r="G11" s="158"/>
    </row>
    <row r="12" spans="1:27" s="85" customFormat="1" ht="9" customHeight="1">
      <c r="A12" s="53"/>
      <c r="B12" s="83"/>
      <c r="C12" s="84"/>
      <c r="D12" s="142"/>
      <c r="E12" s="142"/>
      <c r="F12" s="84"/>
      <c r="G12" s="84"/>
    </row>
    <row r="13" spans="1:27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7" s="85" customFormat="1" ht="5.25" customHeight="1">
      <c r="A14" s="84"/>
      <c r="B14" s="83"/>
      <c r="C14" s="84"/>
      <c r="D14" s="142"/>
      <c r="E14" s="142"/>
      <c r="F14" s="84"/>
      <c r="G14" s="84"/>
    </row>
    <row r="15" spans="1:27" s="91" customFormat="1" ht="34.5" customHeight="1">
      <c r="A15" s="98"/>
      <c r="B15" s="99"/>
      <c r="C15" s="90" t="s">
        <v>76</v>
      </c>
      <c r="D15" s="732" t="s">
        <v>0</v>
      </c>
      <c r="E15" s="732"/>
      <c r="F15" s="425" t="s">
        <v>495</v>
      </c>
      <c r="G15" s="90" t="s">
        <v>60</v>
      </c>
    </row>
    <row r="16" spans="1:27" s="87" customFormat="1" ht="150.75" customHeight="1">
      <c r="A16" s="100"/>
      <c r="B16" s="31" t="str">
        <f t="shared" ref="B16:B26" si="0">IF(G16="มีการดำเนินการ",$J$1, IF(A16=0,$J$2,$A$5))</f>
        <v>¨</v>
      </c>
      <c r="C16" s="86" t="s">
        <v>113</v>
      </c>
      <c r="D16" s="733"/>
      <c r="E16" s="734"/>
      <c r="F16" s="397"/>
      <c r="G16" s="378" t="s">
        <v>32</v>
      </c>
    </row>
    <row r="17" spans="1:7" s="87" customFormat="1" ht="136.5" customHeight="1">
      <c r="A17" s="100"/>
      <c r="B17" s="31" t="str">
        <f t="shared" si="0"/>
        <v>¨</v>
      </c>
      <c r="C17" s="86" t="s">
        <v>114</v>
      </c>
      <c r="D17" s="733"/>
      <c r="E17" s="734"/>
      <c r="F17" s="397"/>
      <c r="G17" s="378" t="s">
        <v>32</v>
      </c>
    </row>
    <row r="18" spans="1:7" s="87" customFormat="1" ht="144.75" customHeight="1">
      <c r="A18" s="100"/>
      <c r="B18" s="31" t="str">
        <f>IF(G18="มีการดำเนินการ",$J$1, IF(A18=0,$J$2,$A$5))</f>
        <v>¨</v>
      </c>
      <c r="C18" s="86" t="s">
        <v>115</v>
      </c>
      <c r="D18" s="733"/>
      <c r="E18" s="734"/>
      <c r="F18" s="397"/>
      <c r="G18" s="378" t="s">
        <v>32</v>
      </c>
    </row>
    <row r="19" spans="1:7" s="87" customFormat="1" ht="10.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25" t="s">
        <v>495</v>
      </c>
      <c r="G22" s="90" t="s">
        <v>60</v>
      </c>
    </row>
    <row r="23" spans="1:7" s="87" customFormat="1" ht="170.25" customHeight="1">
      <c r="A23" s="100"/>
      <c r="B23" s="31" t="str">
        <f t="shared" si="0"/>
        <v>¨</v>
      </c>
      <c r="C23" s="86" t="s">
        <v>116</v>
      </c>
      <c r="D23" s="733"/>
      <c r="E23" s="734"/>
      <c r="F23" s="397"/>
      <c r="G23" s="378" t="s">
        <v>32</v>
      </c>
    </row>
    <row r="24" spans="1:7" s="87" customFormat="1" ht="161.25" customHeight="1">
      <c r="A24" s="100"/>
      <c r="B24" s="31" t="str">
        <f t="shared" ref="B24" si="1">IF(G24="มีการดำเนินการ",$J$1, IF(A24=0,$J$2,$A$5))</f>
        <v>¨</v>
      </c>
      <c r="C24" s="86" t="s">
        <v>117</v>
      </c>
      <c r="D24" s="733"/>
      <c r="E24" s="734"/>
      <c r="F24" s="397"/>
      <c r="G24" s="378" t="s">
        <v>32</v>
      </c>
    </row>
    <row r="25" spans="1:7" s="87" customFormat="1" ht="151.5" customHeight="1">
      <c r="A25" s="100"/>
      <c r="B25" s="31" t="str">
        <f t="shared" si="0"/>
        <v>¨</v>
      </c>
      <c r="C25" s="86" t="s">
        <v>118</v>
      </c>
      <c r="D25" s="733"/>
      <c r="E25" s="734"/>
      <c r="F25" s="397"/>
      <c r="G25" s="378" t="s">
        <v>32</v>
      </c>
    </row>
    <row r="26" spans="1:7" s="87" customFormat="1" ht="158.25" customHeight="1">
      <c r="A26" s="100"/>
      <c r="B26" s="31" t="str">
        <f t="shared" si="0"/>
        <v>¨</v>
      </c>
      <c r="C26" s="86" t="s">
        <v>119</v>
      </c>
      <c r="D26" s="733"/>
      <c r="E26" s="734"/>
      <c r="F26" s="397"/>
      <c r="G26" s="378" t="s">
        <v>32</v>
      </c>
    </row>
    <row r="27" spans="1:7" s="85" customFormat="1">
      <c r="B27" s="88"/>
      <c r="D27" s="144"/>
      <c r="E27" s="144"/>
    </row>
  </sheetData>
  <mergeCells count="18">
    <mergeCell ref="E10:F10"/>
    <mergeCell ref="A1:G1"/>
    <mergeCell ref="A2:G2"/>
    <mergeCell ref="A3:G3"/>
    <mergeCell ref="A4:G4"/>
    <mergeCell ref="A8:G8"/>
    <mergeCell ref="E11:F11"/>
    <mergeCell ref="A13:G13"/>
    <mergeCell ref="D15:E15"/>
    <mergeCell ref="D16:E16"/>
    <mergeCell ref="D17:E17"/>
    <mergeCell ref="D26:E26"/>
    <mergeCell ref="D24:E24"/>
    <mergeCell ref="D22:E22"/>
    <mergeCell ref="D18:E18"/>
    <mergeCell ref="D23:E23"/>
    <mergeCell ref="D25:E25"/>
    <mergeCell ref="A20:G20"/>
  </mergeCells>
  <dataValidations count="2">
    <dataValidation type="list" allowBlank="1" showInputMessage="1" showErrorMessage="1" sqref="G16:G19 G23:G26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1496062992125984" right="0.27559055118110237" top="0.74803149606299213" bottom="0.74803149606299213" header="0.31496062992125984" footer="0.31496062992125984"/>
  <pageSetup paperSize="9" scale="73" orientation="landscape" r:id="rId1"/>
  <rowBreaks count="2" manualBreakCount="2">
    <brk id="16" max="6" man="1"/>
    <brk id="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AC25"/>
  <sheetViews>
    <sheetView view="pageBreakPreview" topLeftCell="B1" zoomScale="91" zoomScaleNormal="80" zoomScaleSheetLayoutView="91" workbookViewId="0">
      <selection activeCell="E10" sqref="E10:F10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4.85546875" style="78" customWidth="1"/>
    <col min="21" max="21" width="5.42578125" style="78" customWidth="1"/>
    <col min="22" max="22" width="4.85546875" style="78" customWidth="1"/>
    <col min="23" max="23" width="4.28515625" style="78" customWidth="1"/>
    <col min="24" max="24" width="4.140625" style="78" customWidth="1"/>
    <col min="25" max="25" width="4.42578125" style="78" customWidth="1"/>
    <col min="26" max="26" width="4" style="78" customWidth="1"/>
    <col min="27" max="27" width="1.42578125" style="78" customWidth="1"/>
    <col min="28" max="28" width="2.5703125" style="78" customWidth="1"/>
    <col min="29" max="16384" width="9.140625" style="78"/>
  </cols>
  <sheetData>
    <row r="1" spans="1:29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137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25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122</v>
      </c>
      <c r="D16" s="733"/>
      <c r="E16" s="734"/>
      <c r="F16" s="397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123</v>
      </c>
      <c r="D17" s="733"/>
      <c r="E17" s="734"/>
      <c r="F17" s="397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124</v>
      </c>
      <c r="D18" s="733"/>
      <c r="E18" s="734"/>
      <c r="F18" s="397"/>
      <c r="G18" s="378" t="s">
        <v>32</v>
      </c>
    </row>
    <row r="19" spans="1:7" s="87" customFormat="1" ht="11.2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25" t="s">
        <v>495</v>
      </c>
      <c r="G22" s="90" t="s">
        <v>60</v>
      </c>
    </row>
    <row r="23" spans="1:7" s="87" customFormat="1" ht="105">
      <c r="A23" s="100"/>
      <c r="B23" s="31" t="str">
        <f t="shared" si="0"/>
        <v>¨</v>
      </c>
      <c r="C23" s="86" t="s">
        <v>125</v>
      </c>
      <c r="D23" s="733"/>
      <c r="E23" s="734"/>
      <c r="F23" s="397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126</v>
      </c>
      <c r="D24" s="733"/>
      <c r="E24" s="734"/>
      <c r="F24" s="397"/>
      <c r="G24" s="378" t="s">
        <v>32</v>
      </c>
    </row>
    <row r="25" spans="1:7" s="85" customFormat="1">
      <c r="B25" s="88"/>
      <c r="D25" s="144"/>
      <c r="E25" s="144"/>
    </row>
  </sheetData>
  <mergeCells count="16">
    <mergeCell ref="E10:F10"/>
    <mergeCell ref="A1:G1"/>
    <mergeCell ref="A2:G2"/>
    <mergeCell ref="A3:G3"/>
    <mergeCell ref="A4:G4"/>
    <mergeCell ref="A8:G8"/>
    <mergeCell ref="D22:E22"/>
    <mergeCell ref="D18:E18"/>
    <mergeCell ref="D23:E23"/>
    <mergeCell ref="D24:E24"/>
    <mergeCell ref="E11:F11"/>
    <mergeCell ref="A13:G13"/>
    <mergeCell ref="D15:E15"/>
    <mergeCell ref="D16:E16"/>
    <mergeCell ref="D17:E17"/>
    <mergeCell ref="A20:G20"/>
  </mergeCells>
  <dataValidations count="2">
    <dataValidation type="list" allowBlank="1" showInputMessage="1" showErrorMessage="1" sqref="G16:G19 G23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1" zoomScale="90" zoomScaleNormal="80" zoomScaleSheetLayoutView="9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425781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179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481</v>
      </c>
      <c r="D16" s="733"/>
      <c r="E16" s="734"/>
      <c r="F16" s="397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180</v>
      </c>
      <c r="D17" s="733"/>
      <c r="E17" s="734"/>
      <c r="F17" s="397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181</v>
      </c>
      <c r="D18" s="733"/>
      <c r="E18" s="734"/>
      <c r="F18" s="397"/>
      <c r="G18" s="378" t="s">
        <v>32</v>
      </c>
    </row>
    <row r="19" spans="1:7" s="87" customFormat="1" ht="11.2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41" t="s">
        <v>495</v>
      </c>
      <c r="G22" s="90" t="s">
        <v>60</v>
      </c>
    </row>
    <row r="23" spans="1:7" s="87" customFormat="1" ht="105">
      <c r="A23" s="100"/>
      <c r="B23" s="31" t="str">
        <f t="shared" si="0"/>
        <v>¨</v>
      </c>
      <c r="C23" s="86" t="s">
        <v>182</v>
      </c>
      <c r="D23" s="733"/>
      <c r="E23" s="734"/>
      <c r="F23" s="397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183</v>
      </c>
      <c r="D24" s="733"/>
      <c r="E24" s="734"/>
      <c r="F24" s="397"/>
      <c r="G24" s="378" t="s">
        <v>32</v>
      </c>
    </row>
    <row r="25" spans="1:7" s="85" customFormat="1">
      <c r="B25" s="88"/>
      <c r="D25" s="144"/>
      <c r="E25" s="144"/>
    </row>
  </sheetData>
  <mergeCells count="16">
    <mergeCell ref="A20:G20"/>
    <mergeCell ref="D22:E22"/>
    <mergeCell ref="D23:E23"/>
    <mergeCell ref="D24:E24"/>
    <mergeCell ref="E11:F11"/>
    <mergeCell ref="A13:G13"/>
    <mergeCell ref="D15:E15"/>
    <mergeCell ref="D16:E16"/>
    <mergeCell ref="D17:E17"/>
    <mergeCell ref="D18:E18"/>
    <mergeCell ref="E10:F10"/>
    <mergeCell ref="A1:G1"/>
    <mergeCell ref="A2:G2"/>
    <mergeCell ref="A3:G3"/>
    <mergeCell ref="A4:G4"/>
    <mergeCell ref="A8:G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9 G23:G24">
      <formula1>$K$1:$K$3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showFormulas="1" view="pageBreakPreview" topLeftCell="A7" zoomScaleNormal="100" zoomScaleSheetLayoutView="100" workbookViewId="0">
      <selection activeCell="E1" sqref="E1"/>
    </sheetView>
  </sheetViews>
  <sheetFormatPr defaultRowHeight="12.75"/>
  <cols>
    <col min="1" max="1" width="12.5703125" customWidth="1"/>
    <col min="2" max="2" width="31.7109375" customWidth="1"/>
  </cols>
  <sheetData>
    <row r="1" spans="1:3" ht="234" customHeight="1">
      <c r="A1" s="682"/>
      <c r="B1" s="682"/>
    </row>
    <row r="2" spans="1:3" ht="29.25">
      <c r="A2" s="684" t="s">
        <v>520</v>
      </c>
      <c r="B2" s="684"/>
    </row>
    <row r="3" spans="1:3" ht="29.25">
      <c r="A3" s="684" t="s">
        <v>562</v>
      </c>
      <c r="B3" s="684"/>
    </row>
    <row r="4" spans="1:3" ht="29.25">
      <c r="A4" s="684" t="s">
        <v>925</v>
      </c>
      <c r="B4" s="684"/>
      <c r="C4" s="76"/>
    </row>
    <row r="5" spans="1:3" ht="29.25">
      <c r="A5" s="684" t="s">
        <v>130</v>
      </c>
      <c r="B5" s="684"/>
      <c r="C5" s="76"/>
    </row>
    <row r="6" spans="1:3" ht="25.5" customHeight="1">
      <c r="A6" s="78"/>
      <c r="B6" s="78"/>
    </row>
    <row r="7" spans="1:3" ht="33" customHeight="1">
      <c r="A7" s="375" t="s">
        <v>498</v>
      </c>
      <c r="B7" s="644" t="s">
        <v>494</v>
      </c>
      <c r="C7" s="16"/>
    </row>
    <row r="8" spans="1:3" ht="23.25">
      <c r="A8" s="375" t="s">
        <v>71</v>
      </c>
      <c r="B8" s="646" t="s">
        <v>969</v>
      </c>
      <c r="C8" s="16"/>
    </row>
    <row r="9" spans="1:3" ht="29.25" customHeight="1">
      <c r="A9" s="375" t="s">
        <v>35</v>
      </c>
      <c r="B9" s="645" t="s">
        <v>36</v>
      </c>
      <c r="C9" s="16"/>
    </row>
    <row r="10" spans="1:3" ht="14.25">
      <c r="A10" s="17"/>
      <c r="B10" s="17"/>
      <c r="C10" s="16"/>
    </row>
    <row r="11" spans="1:3" ht="21.75" hidden="1">
      <c r="A11" s="13" t="s">
        <v>33</v>
      </c>
      <c r="B11" s="13"/>
      <c r="C11" s="54"/>
    </row>
    <row r="12" spans="1:3" ht="23.25" hidden="1">
      <c r="A12" s="13"/>
      <c r="B12" s="102" t="s">
        <v>131</v>
      </c>
      <c r="C12" s="13"/>
    </row>
    <row r="13" spans="1:3" ht="23.25" hidden="1">
      <c r="A13" s="15"/>
      <c r="B13" s="102" t="s">
        <v>493</v>
      </c>
      <c r="C13" s="13"/>
    </row>
    <row r="14" spans="1:3" ht="23.25" hidden="1">
      <c r="A14" s="15"/>
      <c r="B14" s="102" t="s">
        <v>132</v>
      </c>
      <c r="C14" s="13"/>
    </row>
    <row r="15" spans="1:3" ht="23.25" hidden="1">
      <c r="A15" s="15"/>
      <c r="B15" s="102" t="s">
        <v>67</v>
      </c>
      <c r="C15" s="13"/>
    </row>
    <row r="16" spans="1:3" ht="23.25" hidden="1">
      <c r="A16" s="15"/>
      <c r="B16" s="102" t="s">
        <v>133</v>
      </c>
      <c r="C16" s="13"/>
    </row>
    <row r="17" spans="1:3" ht="23.25" hidden="1">
      <c r="A17" s="15"/>
      <c r="B17" s="102" t="s">
        <v>66</v>
      </c>
      <c r="C17" s="13"/>
    </row>
    <row r="18" spans="1:3" ht="23.25" hidden="1">
      <c r="A18" s="15"/>
      <c r="B18" s="102" t="s">
        <v>134</v>
      </c>
      <c r="C18" s="13"/>
    </row>
    <row r="19" spans="1:3" ht="23.25" hidden="1">
      <c r="A19" s="15"/>
      <c r="B19" s="102" t="s">
        <v>135</v>
      </c>
      <c r="C19" s="13"/>
    </row>
    <row r="20" spans="1:3" ht="23.25" hidden="1">
      <c r="A20" s="15"/>
      <c r="B20" s="102" t="s">
        <v>494</v>
      </c>
      <c r="C20" s="13"/>
    </row>
    <row r="21" spans="1:3" ht="23.25" hidden="1">
      <c r="A21" s="15"/>
      <c r="B21" s="102" t="s">
        <v>920</v>
      </c>
      <c r="C21" s="13"/>
    </row>
    <row r="22" spans="1:3" ht="23.25" hidden="1">
      <c r="A22" s="15"/>
      <c r="B22" s="102" t="s">
        <v>921</v>
      </c>
      <c r="C22" s="13"/>
    </row>
    <row r="23" spans="1:3" ht="23.25" hidden="1">
      <c r="A23" s="13"/>
      <c r="B23" s="102" t="s">
        <v>922</v>
      </c>
      <c r="C23" s="13"/>
    </row>
    <row r="24" spans="1:3" ht="23.25" hidden="1">
      <c r="A24" s="13"/>
      <c r="B24" s="102" t="s">
        <v>923</v>
      </c>
      <c r="C24" s="13"/>
    </row>
    <row r="25" spans="1:3" ht="23.25" hidden="1">
      <c r="A25" s="13"/>
      <c r="B25" s="102" t="s">
        <v>924</v>
      </c>
      <c r="C25" s="13"/>
    </row>
    <row r="26" spans="1:3" ht="23.25" hidden="1">
      <c r="A26" s="13"/>
      <c r="B26" s="102"/>
      <c r="C26" s="13"/>
    </row>
    <row r="27" spans="1:3" ht="23.25" hidden="1">
      <c r="A27" s="13"/>
      <c r="B27" s="102"/>
      <c r="C27" s="13"/>
    </row>
    <row r="28" spans="1:3" ht="23.25" hidden="1">
      <c r="A28" s="13" t="s">
        <v>35</v>
      </c>
      <c r="B28" s="102" t="s">
        <v>36</v>
      </c>
      <c r="C28" s="13"/>
    </row>
    <row r="29" spans="1:3" ht="23.25" hidden="1">
      <c r="A29" s="13"/>
      <c r="B29" s="102" t="s">
        <v>37</v>
      </c>
      <c r="C29" s="13"/>
    </row>
    <row r="30" spans="1:3" ht="21.75" hidden="1" customHeight="1">
      <c r="A30" s="13"/>
      <c r="B30" s="102" t="s">
        <v>38</v>
      </c>
      <c r="C30" s="13"/>
    </row>
    <row r="31" spans="1:3" ht="14.25" hidden="1">
      <c r="A31" s="78"/>
      <c r="B31" s="78"/>
    </row>
    <row r="32" spans="1:3" ht="26.25" hidden="1">
      <c r="A32" s="377" t="s">
        <v>68</v>
      </c>
      <c r="B32" s="376" t="s">
        <v>139</v>
      </c>
    </row>
    <row r="33" spans="1:2" ht="26.25" hidden="1">
      <c r="A33" s="377" t="s">
        <v>69</v>
      </c>
      <c r="B33" s="376" t="s">
        <v>139</v>
      </c>
    </row>
    <row r="34" spans="1:2" ht="26.25" hidden="1">
      <c r="A34" s="377" t="s">
        <v>69</v>
      </c>
      <c r="B34" s="376" t="s">
        <v>139</v>
      </c>
    </row>
    <row r="35" spans="1:2" ht="26.25" hidden="1">
      <c r="A35" s="377" t="s">
        <v>70</v>
      </c>
      <c r="B35" s="376" t="s">
        <v>139</v>
      </c>
    </row>
    <row r="36" spans="1:2" ht="14.25">
      <c r="A36" s="78"/>
      <c r="B36" s="78"/>
    </row>
    <row r="37" spans="1:2" ht="23.25">
      <c r="A37" s="683"/>
      <c r="B37" s="683"/>
    </row>
    <row r="38" spans="1:2" ht="29.25" customHeight="1">
      <c r="A38" s="685" t="s">
        <v>130</v>
      </c>
      <c r="B38" s="685"/>
    </row>
    <row r="39" spans="1:2" ht="22.5" customHeight="1">
      <c r="A39" s="686" t="s">
        <v>926</v>
      </c>
      <c r="B39" s="686"/>
    </row>
  </sheetData>
  <mergeCells count="8">
    <mergeCell ref="A1:B1"/>
    <mergeCell ref="A37:B37"/>
    <mergeCell ref="A3:B3"/>
    <mergeCell ref="A38:B38"/>
    <mergeCell ref="A39:B39"/>
    <mergeCell ref="A4:B4"/>
    <mergeCell ref="A5:B5"/>
    <mergeCell ref="A2:B2"/>
  </mergeCells>
  <phoneticPr fontId="2" type="noConversion"/>
  <dataValidations count="4">
    <dataValidation type="list" allowBlank="1" showInputMessage="1" showErrorMessage="1" prompt="กรุณาเลือกคณะวิชา" sqref="B7">
      <formula1>$B$11:$B$25</formula1>
    </dataValidation>
    <dataValidation type="list" allowBlank="1" showInputMessage="1" showErrorMessage="1" prompt="กรุณาเลือกกลุ่มสาขาวิชา_x000a_" sqref="B9">
      <formula1>$B$27:$B$30</formula1>
    </dataValidation>
    <dataValidation allowBlank="1" showInputMessage="1" showErrorMessage="1" prompt="กรุณาใส่ชื่อภาควิชา/สาขาวิชา" sqref="B8"/>
    <dataValidation allowBlank="1" showInputMessage="1" showErrorMessage="1" prompt="กรุณาระบุชื่อ-นามสกุลผู้ตรวจประเมิน" sqref="B32:B35"/>
  </dataValidations>
  <pageMargins left="0.72" right="0.38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S42"/>
  <sheetViews>
    <sheetView view="pageBreakPreview" topLeftCell="A26" zoomScaleNormal="100" zoomScaleSheetLayoutView="100" workbookViewId="0">
      <selection activeCell="R41" sqref="R41"/>
    </sheetView>
  </sheetViews>
  <sheetFormatPr defaultRowHeight="12.75"/>
  <cols>
    <col min="1" max="1" width="3.140625" customWidth="1"/>
    <col min="2" max="2" width="4.28515625" customWidth="1"/>
    <col min="3" max="3" width="45.42578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10.140625" customWidth="1"/>
    <col min="9" max="16" width="0" hidden="1" customWidth="1"/>
  </cols>
  <sheetData>
    <row r="1" spans="1:19" s="78" customFormat="1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28"/>
      <c r="J1" s="81" t="s">
        <v>29</v>
      </c>
      <c r="K1" s="51" t="s">
        <v>32</v>
      </c>
      <c r="N1" s="16"/>
      <c r="P1" s="17" t="s">
        <v>9</v>
      </c>
    </row>
    <row r="2" spans="1:19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J2" s="81" t="s">
        <v>30</v>
      </c>
      <c r="K2" s="51" t="s">
        <v>31</v>
      </c>
      <c r="N2" s="16"/>
      <c r="P2" s="17">
        <v>100</v>
      </c>
    </row>
    <row r="3" spans="1:19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K3" s="48" t="s">
        <v>72</v>
      </c>
    </row>
    <row r="4" spans="1:19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</row>
    <row r="5" spans="1:19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19" ht="23.25">
      <c r="A6" s="787" t="s">
        <v>184</v>
      </c>
      <c r="B6" s="787"/>
      <c r="C6" s="787"/>
      <c r="D6" s="787"/>
      <c r="E6" s="787"/>
      <c r="F6" s="787"/>
      <c r="G6" s="788" t="s">
        <v>61</v>
      </c>
      <c r="H6" s="789"/>
      <c r="L6" s="82" t="s">
        <v>62</v>
      </c>
    </row>
    <row r="7" spans="1:19" ht="23.25">
      <c r="A7" s="787"/>
      <c r="B7" s="787"/>
      <c r="C7" s="787"/>
      <c r="D7" s="787"/>
      <c r="E7" s="787"/>
      <c r="F7" s="787"/>
      <c r="G7" s="13"/>
      <c r="H7" s="13"/>
      <c r="L7" s="82" t="s">
        <v>73</v>
      </c>
    </row>
    <row r="8" spans="1:19" ht="23.25">
      <c r="A8" s="16"/>
      <c r="B8" s="16"/>
      <c r="C8" s="16"/>
      <c r="D8" s="16"/>
      <c r="E8" s="16"/>
      <c r="F8" s="16"/>
      <c r="G8" s="16"/>
      <c r="H8" s="16"/>
      <c r="L8" s="82" t="s">
        <v>74</v>
      </c>
    </row>
    <row r="9" spans="1:19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19" ht="7.5" customHeight="1">
      <c r="A10" s="15"/>
      <c r="B10" s="13"/>
      <c r="C10" s="13"/>
      <c r="D10" s="13"/>
      <c r="E10" s="13"/>
      <c r="F10" s="13"/>
      <c r="G10" s="13"/>
      <c r="H10" s="13"/>
    </row>
    <row r="11" spans="1:19" ht="43.5">
      <c r="A11" s="747" t="s">
        <v>6</v>
      </c>
      <c r="B11" s="748"/>
      <c r="C11" s="748"/>
      <c r="D11" s="749"/>
      <c r="E11" s="148" t="s">
        <v>8</v>
      </c>
      <c r="F11" s="750" t="s">
        <v>929</v>
      </c>
      <c r="G11" s="751"/>
      <c r="H11" s="152" t="s">
        <v>7</v>
      </c>
      <c r="Q11" s="750" t="s">
        <v>605</v>
      </c>
      <c r="R11" s="751"/>
      <c r="S11" s="450" t="s">
        <v>7</v>
      </c>
    </row>
    <row r="12" spans="1:19" ht="21.75">
      <c r="A12" s="20">
        <v>1</v>
      </c>
      <c r="B12" s="736" t="s">
        <v>188</v>
      </c>
      <c r="C12" s="736"/>
      <c r="D12" s="737"/>
      <c r="E12" s="46" t="s">
        <v>3</v>
      </c>
      <c r="F12" s="790">
        <f>G24-(G27+G28+G29+G30+G31)</f>
        <v>0</v>
      </c>
      <c r="G12" s="790"/>
      <c r="H12" s="792" t="e">
        <f>IF(G6&lt;&gt;"ประเมิน",G6,(F14*5)/100)</f>
        <v>#DIV/0!</v>
      </c>
      <c r="Q12" s="790">
        <f>H24-(H27+H28+H29+H30+H31)</f>
        <v>0</v>
      </c>
      <c r="R12" s="790"/>
      <c r="S12" s="792" t="e">
        <f>IF(G6&lt;&gt;"ประเมิน",G6,(Q14*5)/100)</f>
        <v>#DIV/0!</v>
      </c>
    </row>
    <row r="13" spans="1:19" ht="21.75">
      <c r="A13" s="20">
        <v>2</v>
      </c>
      <c r="B13" s="736" t="s">
        <v>189</v>
      </c>
      <c r="C13" s="736"/>
      <c r="D13" s="737"/>
      <c r="E13" s="153" t="s">
        <v>3</v>
      </c>
      <c r="F13" s="795">
        <f>G25+G26</f>
        <v>0</v>
      </c>
      <c r="G13" s="796"/>
      <c r="H13" s="793"/>
      <c r="Q13" s="795">
        <f>H25+H26</f>
        <v>0</v>
      </c>
      <c r="R13" s="796"/>
      <c r="S13" s="793"/>
    </row>
    <row r="14" spans="1:19" ht="48.75" customHeight="1">
      <c r="A14" s="20">
        <v>3</v>
      </c>
      <c r="B14" s="736" t="s">
        <v>187</v>
      </c>
      <c r="C14" s="736"/>
      <c r="D14" s="737"/>
      <c r="E14" s="153" t="s">
        <v>39</v>
      </c>
      <c r="F14" s="774" t="e">
        <f>+IF(G6&lt;&gt;"ประเมิน",G6,ROUND((F13/F12)*100,2))</f>
        <v>#DIV/0!</v>
      </c>
      <c r="G14" s="775"/>
      <c r="H14" s="794"/>
      <c r="Q14" s="774" t="e">
        <f>+IF(G6&lt;&gt;"ประเมิน",G6,ROUND((Q13/Q12)*100,2))</f>
        <v>#DIV/0!</v>
      </c>
      <c r="R14" s="775"/>
      <c r="S14" s="794"/>
    </row>
    <row r="15" spans="1:19" ht="21.75">
      <c r="B15" s="130"/>
      <c r="C15" s="130"/>
      <c r="D15" s="130"/>
      <c r="E15" s="108"/>
      <c r="F15" s="797"/>
      <c r="G15" s="797"/>
      <c r="H15" s="797"/>
    </row>
    <row r="16" spans="1:19" ht="21.75">
      <c r="B16" s="40"/>
      <c r="C16" s="791"/>
      <c r="D16" s="791"/>
      <c r="E16" s="791"/>
      <c r="F16" s="746"/>
      <c r="G16" s="746"/>
      <c r="H16" s="746"/>
    </row>
    <row r="17" spans="1:8" ht="21.75">
      <c r="A17" s="40"/>
      <c r="B17" s="40"/>
      <c r="C17" s="791"/>
      <c r="D17" s="791"/>
      <c r="E17" s="791"/>
      <c r="F17" s="746"/>
      <c r="G17" s="746"/>
      <c r="H17" s="746"/>
    </row>
    <row r="18" spans="1:8" ht="21.75">
      <c r="A18" s="15"/>
      <c r="B18" s="14"/>
      <c r="C18" s="14"/>
      <c r="D18" s="13"/>
      <c r="E18" s="13"/>
      <c r="F18" s="13"/>
      <c r="G18" s="13"/>
      <c r="H18" s="13"/>
    </row>
    <row r="19" spans="1:8" ht="23.25">
      <c r="A19" s="727" t="s">
        <v>77</v>
      </c>
      <c r="B19" s="727"/>
      <c r="C19" s="727"/>
      <c r="D19" s="727"/>
      <c r="E19" s="727"/>
      <c r="F19" s="727"/>
      <c r="G19" s="727"/>
      <c r="H19" s="13"/>
    </row>
    <row r="20" spans="1:8" ht="9" customHeight="1">
      <c r="A20" s="14"/>
      <c r="B20" s="14"/>
      <c r="C20" s="13"/>
      <c r="D20" s="13"/>
      <c r="E20" s="13"/>
      <c r="F20" s="13"/>
      <c r="G20" s="13"/>
      <c r="H20" s="13"/>
    </row>
    <row r="21" spans="1:8" ht="21.75">
      <c r="A21" s="745" t="s">
        <v>4</v>
      </c>
      <c r="B21" s="745"/>
      <c r="C21" s="745"/>
      <c r="D21" s="745" t="s">
        <v>2</v>
      </c>
      <c r="E21" s="759" t="s">
        <v>0</v>
      </c>
      <c r="F21" s="759"/>
      <c r="G21" s="759"/>
      <c r="H21" s="759"/>
    </row>
    <row r="22" spans="1:8" ht="21.75">
      <c r="A22" s="800"/>
      <c r="B22" s="745"/>
      <c r="C22" s="745"/>
      <c r="D22" s="745"/>
      <c r="E22" s="147">
        <v>2554</v>
      </c>
      <c r="F22" s="147">
        <v>2555</v>
      </c>
      <c r="G22" s="147">
        <v>2556</v>
      </c>
      <c r="H22" s="147" t="s">
        <v>1</v>
      </c>
    </row>
    <row r="23" spans="1:8" ht="24.75" customHeight="1">
      <c r="A23" s="381">
        <v>1</v>
      </c>
      <c r="B23" s="798" t="s">
        <v>185</v>
      </c>
      <c r="C23" s="799"/>
      <c r="D23" s="169" t="s">
        <v>3</v>
      </c>
      <c r="E23" s="170"/>
      <c r="F23" s="181"/>
      <c r="G23" s="181"/>
      <c r="H23" s="172">
        <f>SUM(E23:G23)</f>
        <v>0</v>
      </c>
    </row>
    <row r="24" spans="1:8" ht="21">
      <c r="A24" s="380">
        <v>2</v>
      </c>
      <c r="B24" s="798" t="s">
        <v>190</v>
      </c>
      <c r="C24" s="799"/>
      <c r="D24" s="169" t="s">
        <v>3</v>
      </c>
      <c r="E24" s="170"/>
      <c r="F24" s="170"/>
      <c r="G24" s="170"/>
      <c r="H24" s="172">
        <f t="shared" ref="H24:H31" si="0">SUM(E24:G24)</f>
        <v>0</v>
      </c>
    </row>
    <row r="25" spans="1:8" ht="42" customHeight="1">
      <c r="A25" s="168">
        <v>3</v>
      </c>
      <c r="B25" s="798" t="s">
        <v>191</v>
      </c>
      <c r="C25" s="799"/>
      <c r="D25" s="169" t="s">
        <v>3</v>
      </c>
      <c r="E25" s="186"/>
      <c r="F25" s="186"/>
      <c r="G25" s="186"/>
      <c r="H25" s="172">
        <f t="shared" si="0"/>
        <v>0</v>
      </c>
    </row>
    <row r="26" spans="1:8" ht="21">
      <c r="A26" s="382">
        <v>4</v>
      </c>
      <c r="B26" s="798" t="s">
        <v>192</v>
      </c>
      <c r="C26" s="799"/>
      <c r="D26" s="169" t="s">
        <v>3</v>
      </c>
      <c r="E26" s="184"/>
      <c r="F26" s="184"/>
      <c r="G26" s="184"/>
      <c r="H26" s="172">
        <f t="shared" si="0"/>
        <v>0</v>
      </c>
    </row>
    <row r="27" spans="1:8" ht="21">
      <c r="A27" s="382">
        <v>5</v>
      </c>
      <c r="B27" s="798" t="s">
        <v>193</v>
      </c>
      <c r="C27" s="799"/>
      <c r="D27" s="169" t="s">
        <v>3</v>
      </c>
      <c r="E27" s="170"/>
      <c r="F27" s="170"/>
      <c r="G27" s="170"/>
      <c r="H27" s="172">
        <f t="shared" si="0"/>
        <v>0</v>
      </c>
    </row>
    <row r="28" spans="1:8" ht="42" customHeight="1">
      <c r="A28" s="183">
        <v>6</v>
      </c>
      <c r="B28" s="798" t="s">
        <v>194</v>
      </c>
      <c r="C28" s="799"/>
      <c r="D28" s="169" t="s">
        <v>3</v>
      </c>
      <c r="E28" s="170"/>
      <c r="F28" s="170"/>
      <c r="G28" s="170"/>
      <c r="H28" s="172">
        <f t="shared" si="0"/>
        <v>0</v>
      </c>
    </row>
    <row r="29" spans="1:8" ht="21">
      <c r="A29" s="168">
        <v>7</v>
      </c>
      <c r="B29" s="798" t="s">
        <v>195</v>
      </c>
      <c r="C29" s="799"/>
      <c r="D29" s="169" t="s">
        <v>3</v>
      </c>
      <c r="E29" s="181"/>
      <c r="F29" s="181"/>
      <c r="G29" s="181"/>
      <c r="H29" s="172">
        <f t="shared" si="0"/>
        <v>0</v>
      </c>
    </row>
    <row r="30" spans="1:8" ht="21">
      <c r="A30" s="382">
        <v>8</v>
      </c>
      <c r="B30" s="803" t="s">
        <v>196</v>
      </c>
      <c r="C30" s="804"/>
      <c r="D30" s="169" t="s">
        <v>3</v>
      </c>
      <c r="E30" s="170"/>
      <c r="F30" s="170"/>
      <c r="G30" s="170"/>
      <c r="H30" s="172">
        <f t="shared" si="0"/>
        <v>0</v>
      </c>
    </row>
    <row r="31" spans="1:8" ht="21">
      <c r="A31" s="182">
        <v>9</v>
      </c>
      <c r="B31" s="803" t="s">
        <v>197</v>
      </c>
      <c r="C31" s="804"/>
      <c r="D31" s="169" t="s">
        <v>3</v>
      </c>
      <c r="E31" s="170"/>
      <c r="F31" s="170"/>
      <c r="G31" s="170"/>
      <c r="H31" s="172">
        <f t="shared" si="0"/>
        <v>0</v>
      </c>
    </row>
    <row r="32" spans="1:8" ht="21">
      <c r="A32" s="168">
        <v>10</v>
      </c>
      <c r="B32" s="173" t="s">
        <v>186</v>
      </c>
      <c r="C32" s="174"/>
      <c r="D32" s="175" t="s">
        <v>5</v>
      </c>
      <c r="E32" s="176" t="e">
        <f>+E24/E23*100</f>
        <v>#DIV/0!</v>
      </c>
      <c r="F32" s="176" t="e">
        <f>+F24/F23*100</f>
        <v>#DIV/0!</v>
      </c>
      <c r="G32" s="176" t="e">
        <f>+G24/G23*100</f>
        <v>#DIV/0!</v>
      </c>
      <c r="H32" s="177" t="e">
        <f>+H24/H23*100</f>
        <v>#DIV/0!</v>
      </c>
    </row>
    <row r="33" spans="1:19" ht="42.75" customHeight="1">
      <c r="A33" s="178">
        <v>11</v>
      </c>
      <c r="B33" s="801" t="s">
        <v>187</v>
      </c>
      <c r="C33" s="802"/>
      <c r="D33" s="179" t="s">
        <v>5</v>
      </c>
      <c r="E33" s="180" t="e">
        <f>+(E25+E26)/(E24-(E27+E28+E29+E30+E31))*100</f>
        <v>#DIV/0!</v>
      </c>
      <c r="F33" s="180" t="e">
        <f t="shared" ref="F33:H33" si="1">+(F25+F26)/(F24-(F27+F28+F29+F30+F31))*100</f>
        <v>#DIV/0!</v>
      </c>
      <c r="G33" s="180" t="e">
        <f t="shared" si="1"/>
        <v>#DIV/0!</v>
      </c>
      <c r="H33" s="180" t="e">
        <f t="shared" si="1"/>
        <v>#DIV/0!</v>
      </c>
      <c r="S33" s="185"/>
    </row>
    <row r="34" spans="1:19" ht="21.75">
      <c r="A34" s="35"/>
      <c r="B34" s="149"/>
      <c r="C34" s="149"/>
      <c r="D34" s="37"/>
      <c r="E34" s="38"/>
      <c r="F34" s="38"/>
      <c r="G34" s="38"/>
      <c r="H34" s="39"/>
    </row>
    <row r="35" spans="1:19" ht="21.75">
      <c r="A35" s="740" t="s">
        <v>951</v>
      </c>
      <c r="B35" s="740"/>
      <c r="C35" s="740"/>
      <c r="D35" s="37"/>
      <c r="E35" s="38"/>
      <c r="F35" s="38"/>
      <c r="G35" s="38"/>
      <c r="H35" s="39"/>
    </row>
    <row r="36" spans="1:19" ht="18" customHeight="1">
      <c r="A36" s="40"/>
      <c r="B36" s="42"/>
      <c r="C36" s="755">
        <v>1</v>
      </c>
      <c r="D36" s="755"/>
      <c r="E36" s="755"/>
      <c r="F36" s="755"/>
      <c r="G36" s="755"/>
      <c r="H36" s="755"/>
    </row>
    <row r="37" spans="1:19" ht="21.75">
      <c r="A37" s="35"/>
      <c r="B37" s="41"/>
      <c r="C37" s="755">
        <v>2</v>
      </c>
      <c r="D37" s="755"/>
      <c r="E37" s="755"/>
      <c r="F37" s="755"/>
      <c r="G37" s="755"/>
      <c r="H37" s="755"/>
    </row>
    <row r="38" spans="1:19" ht="21.75">
      <c r="A38" s="35"/>
      <c r="B38" s="41"/>
      <c r="C38" s="755">
        <v>3</v>
      </c>
      <c r="D38" s="755"/>
      <c r="E38" s="755"/>
      <c r="F38" s="755"/>
      <c r="G38" s="755"/>
      <c r="H38" s="755"/>
    </row>
    <row r="39" spans="1:19" ht="21.75">
      <c r="A39" s="35"/>
      <c r="B39" s="41"/>
      <c r="C39" s="42"/>
      <c r="D39" s="37"/>
      <c r="E39" s="38"/>
      <c r="F39" s="38"/>
      <c r="G39" s="38"/>
      <c r="H39" s="39"/>
    </row>
    <row r="40" spans="1:19" ht="21.75">
      <c r="A40" s="35"/>
      <c r="B40" s="41"/>
      <c r="C40" s="42"/>
      <c r="D40" s="37"/>
      <c r="E40" s="38"/>
      <c r="F40" s="38"/>
      <c r="G40" s="38"/>
      <c r="H40" s="39"/>
    </row>
    <row r="41" spans="1:19" ht="21.75">
      <c r="A41" s="43"/>
      <c r="B41" s="44"/>
      <c r="C41" s="44"/>
      <c r="D41" s="32"/>
      <c r="E41" s="45"/>
      <c r="F41" s="45"/>
      <c r="G41" s="45"/>
      <c r="H41" s="45"/>
    </row>
    <row r="42" spans="1:19" ht="21.75">
      <c r="A42" s="2"/>
      <c r="B42" s="2"/>
      <c r="C42" s="1"/>
      <c r="D42" s="1"/>
      <c r="E42" s="1"/>
      <c r="F42" s="1"/>
      <c r="G42" s="1"/>
      <c r="H42" s="1"/>
    </row>
  </sheetData>
  <mergeCells count="44">
    <mergeCell ref="C37:H37"/>
    <mergeCell ref="C38:H38"/>
    <mergeCell ref="Q11:R11"/>
    <mergeCell ref="Q12:R12"/>
    <mergeCell ref="S12:S14"/>
    <mergeCell ref="Q13:R13"/>
    <mergeCell ref="Q14:R14"/>
    <mergeCell ref="B23:C23"/>
    <mergeCell ref="B24:C24"/>
    <mergeCell ref="B25:C25"/>
    <mergeCell ref="B29:C29"/>
    <mergeCell ref="B33:C33"/>
    <mergeCell ref="B28:C28"/>
    <mergeCell ref="B30:C30"/>
    <mergeCell ref="B31:C31"/>
    <mergeCell ref="B26:C26"/>
    <mergeCell ref="B27:C27"/>
    <mergeCell ref="A35:C35"/>
    <mergeCell ref="C36:H36"/>
    <mergeCell ref="A19:G19"/>
    <mergeCell ref="A21:C22"/>
    <mergeCell ref="D21:D22"/>
    <mergeCell ref="E21:H21"/>
    <mergeCell ref="C17:E17"/>
    <mergeCell ref="F17:H17"/>
    <mergeCell ref="H12:H14"/>
    <mergeCell ref="B13:D13"/>
    <mergeCell ref="F13:G13"/>
    <mergeCell ref="B14:D14"/>
    <mergeCell ref="F14:G14"/>
    <mergeCell ref="F15:H15"/>
    <mergeCell ref="C16:E16"/>
    <mergeCell ref="F16:H16"/>
    <mergeCell ref="A9:G9"/>
    <mergeCell ref="A11:D11"/>
    <mergeCell ref="F11:G11"/>
    <mergeCell ref="B12:D12"/>
    <mergeCell ref="F12:G12"/>
    <mergeCell ref="A1:H1"/>
    <mergeCell ref="A2:H2"/>
    <mergeCell ref="A3:H3"/>
    <mergeCell ref="A4:H4"/>
    <mergeCell ref="A6:F7"/>
    <mergeCell ref="G6:H6"/>
  </mergeCells>
  <dataValidations count="3">
    <dataValidation allowBlank="1" showInputMessage="1" showErrorMessage="1" prompt="กรุณาใส่ผลการดำเนินงานตามรายงานของหน่วยงาน" sqref="F16"/>
    <dataValidation allowBlank="1" showInputMessage="1" showErrorMessage="1" prompt="กรุณาใส่คะแนนตามที่หน่วยงานรายงาน_x000a_" sqref="F17"/>
    <dataValidation type="list" errorStyle="information" allowBlank="1" showInputMessage="1" showErrorMessage="1" prompt="กรุณาเลือก" sqref="G6:H6">
      <formula1>$L$4:$L$8</formula1>
    </dataValidation>
  </dataValidations>
  <pageMargins left="0.53" right="0.23" top="1" bottom="1" header="0.5" footer="0.5"/>
  <pageSetup paperSize="9" scale="97" orientation="portrait" horizontalDpi="1200" verticalDpi="1200" r:id="rId1"/>
  <headerFooter alignWithMargins="0"/>
  <colBreaks count="1" manualBreakCount="1">
    <brk id="8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S48"/>
  <sheetViews>
    <sheetView view="pageBreakPreview" topLeftCell="A31" zoomScaleNormal="100" zoomScaleSheetLayoutView="100" workbookViewId="0">
      <selection activeCell="A41" sqref="A41:XFD44"/>
    </sheetView>
  </sheetViews>
  <sheetFormatPr defaultRowHeight="12.75"/>
  <cols>
    <col min="1" max="1" width="3.140625" customWidth="1"/>
    <col min="2" max="2" width="4.28515625" customWidth="1"/>
    <col min="3" max="3" width="45.42578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10.140625" customWidth="1"/>
    <col min="9" max="16" width="0" hidden="1" customWidth="1"/>
  </cols>
  <sheetData>
    <row r="1" spans="1:19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J1" s="81" t="s">
        <v>29</v>
      </c>
      <c r="K1" s="51" t="s">
        <v>32</v>
      </c>
      <c r="N1" s="16"/>
      <c r="P1" s="17" t="s">
        <v>9</v>
      </c>
    </row>
    <row r="2" spans="1:19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J2" s="81" t="s">
        <v>30</v>
      </c>
      <c r="K2" s="51" t="s">
        <v>31</v>
      </c>
      <c r="N2" s="16"/>
      <c r="P2" s="17">
        <v>100</v>
      </c>
    </row>
    <row r="3" spans="1:19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K3" s="48" t="s">
        <v>72</v>
      </c>
    </row>
    <row r="4" spans="1:19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</row>
    <row r="5" spans="1:19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19" ht="23.25">
      <c r="A6" s="787" t="s">
        <v>98</v>
      </c>
      <c r="B6" s="787"/>
      <c r="C6" s="787"/>
      <c r="D6" s="787"/>
      <c r="E6" s="787"/>
      <c r="F6" s="787"/>
      <c r="G6" s="788" t="s">
        <v>61</v>
      </c>
      <c r="H6" s="789"/>
      <c r="L6" s="82" t="s">
        <v>62</v>
      </c>
    </row>
    <row r="7" spans="1:19" ht="23.25">
      <c r="A7" s="787"/>
      <c r="B7" s="787"/>
      <c r="C7" s="787"/>
      <c r="D7" s="787"/>
      <c r="E7" s="787"/>
      <c r="F7" s="787"/>
      <c r="G7" s="13"/>
      <c r="H7" s="13"/>
      <c r="L7" s="82" t="s">
        <v>73</v>
      </c>
    </row>
    <row r="8" spans="1:19" ht="23.25">
      <c r="A8" s="16"/>
      <c r="B8" s="16"/>
      <c r="C8" s="16"/>
      <c r="D8" s="16"/>
      <c r="E8" s="16"/>
      <c r="F8" s="16"/>
      <c r="G8" s="16"/>
      <c r="H8" s="16"/>
      <c r="L8" s="82" t="s">
        <v>74</v>
      </c>
    </row>
    <row r="9" spans="1:19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19" ht="7.5" customHeight="1">
      <c r="A10" s="15"/>
      <c r="B10" s="13"/>
      <c r="C10" s="13"/>
      <c r="D10" s="13"/>
      <c r="E10" s="13"/>
      <c r="F10" s="13"/>
      <c r="G10" s="13"/>
      <c r="H10" s="13"/>
    </row>
    <row r="11" spans="1:19" ht="43.5">
      <c r="A11" s="747" t="s">
        <v>6</v>
      </c>
      <c r="B11" s="748"/>
      <c r="C11" s="748"/>
      <c r="D11" s="749"/>
      <c r="E11" s="18" t="s">
        <v>8</v>
      </c>
      <c r="F11" s="750" t="s">
        <v>929</v>
      </c>
      <c r="G11" s="751"/>
      <c r="H11" s="19" t="s">
        <v>7</v>
      </c>
      <c r="Q11" s="750" t="s">
        <v>605</v>
      </c>
      <c r="R11" s="751"/>
      <c r="S11" s="450" t="s">
        <v>7</v>
      </c>
    </row>
    <row r="12" spans="1:19" ht="21.75">
      <c r="A12" s="20">
        <v>1</v>
      </c>
      <c r="B12" s="736" t="s">
        <v>127</v>
      </c>
      <c r="C12" s="736"/>
      <c r="D12" s="737"/>
      <c r="E12" s="46" t="s">
        <v>3</v>
      </c>
      <c r="F12" s="807" t="e">
        <f>(G28/G24)*100</f>
        <v>#DIV/0!</v>
      </c>
      <c r="G12" s="807"/>
      <c r="H12" s="792" t="e">
        <f>IF(G6&lt;&gt;"ประเมิน",G6,F15)</f>
        <v>#DIV/0!</v>
      </c>
      <c r="Q12" s="807" t="e">
        <f>(R28/R24)*100</f>
        <v>#DIV/0!</v>
      </c>
      <c r="R12" s="807"/>
      <c r="S12" s="792" t="e">
        <f>IF(G6&lt;&gt;"ประเมิน",G6,Q15)</f>
        <v>#DIV/0!</v>
      </c>
    </row>
    <row r="13" spans="1:19" ht="21.75">
      <c r="A13" s="20">
        <v>2</v>
      </c>
      <c r="B13" s="736" t="s">
        <v>42</v>
      </c>
      <c r="C13" s="736"/>
      <c r="D13" s="737"/>
      <c r="E13" s="28" t="s">
        <v>3</v>
      </c>
      <c r="F13" s="795">
        <f>G28</f>
        <v>0</v>
      </c>
      <c r="G13" s="796"/>
      <c r="H13" s="793"/>
      <c r="Q13" s="795">
        <f>H28</f>
        <v>0</v>
      </c>
      <c r="R13" s="796"/>
      <c r="S13" s="793"/>
    </row>
    <row r="14" spans="1:19" ht="21.75">
      <c r="A14" s="20">
        <v>3</v>
      </c>
      <c r="B14" s="736" t="s">
        <v>44</v>
      </c>
      <c r="C14" s="736"/>
      <c r="D14" s="737"/>
      <c r="E14" s="28" t="s">
        <v>41</v>
      </c>
      <c r="F14" s="814">
        <f>G32</f>
        <v>0</v>
      </c>
      <c r="G14" s="815"/>
      <c r="H14" s="793"/>
      <c r="Q14" s="814">
        <f>H32</f>
        <v>0</v>
      </c>
      <c r="R14" s="815"/>
      <c r="S14" s="793"/>
    </row>
    <row r="15" spans="1:19" ht="21.75">
      <c r="A15" s="20">
        <v>4</v>
      </c>
      <c r="B15" s="736" t="s">
        <v>46</v>
      </c>
      <c r="C15" s="736"/>
      <c r="D15" s="737"/>
      <c r="E15" s="153" t="s">
        <v>39</v>
      </c>
      <c r="F15" s="774" t="e">
        <f>G36</f>
        <v>#DIV/0!</v>
      </c>
      <c r="G15" s="775"/>
      <c r="H15" s="794"/>
      <c r="Q15" s="774" t="e">
        <f>H36</f>
        <v>#DIV/0!</v>
      </c>
      <c r="R15" s="775"/>
      <c r="S15" s="794"/>
    </row>
    <row r="16" spans="1:19" ht="21.75">
      <c r="B16" s="130"/>
      <c r="C16" s="130"/>
      <c r="D16" s="130"/>
      <c r="E16" s="108"/>
      <c r="F16" s="797"/>
      <c r="G16" s="797"/>
      <c r="H16" s="797"/>
    </row>
    <row r="17" spans="1:8" ht="21.75">
      <c r="B17" s="40"/>
      <c r="C17" s="791"/>
      <c r="D17" s="791"/>
      <c r="E17" s="791"/>
      <c r="F17" s="746"/>
      <c r="G17" s="746"/>
      <c r="H17" s="746"/>
    </row>
    <row r="18" spans="1:8" ht="21.75">
      <c r="A18" s="40"/>
      <c r="B18" s="40"/>
      <c r="C18" s="791"/>
      <c r="D18" s="791"/>
      <c r="E18" s="791"/>
      <c r="F18" s="746"/>
      <c r="G18" s="746"/>
      <c r="H18" s="746"/>
    </row>
    <row r="19" spans="1:8" ht="21.75">
      <c r="A19" s="15"/>
      <c r="B19" s="14"/>
      <c r="C19" s="14"/>
      <c r="D19" s="13"/>
      <c r="E19" s="13"/>
      <c r="F19" s="13"/>
      <c r="G19" s="13"/>
      <c r="H19" s="13"/>
    </row>
    <row r="20" spans="1:8" ht="23.25">
      <c r="A20" s="727" t="s">
        <v>77</v>
      </c>
      <c r="B20" s="727"/>
      <c r="C20" s="727"/>
      <c r="D20" s="727"/>
      <c r="E20" s="727"/>
      <c r="F20" s="727"/>
      <c r="G20" s="727"/>
      <c r="H20" s="13"/>
    </row>
    <row r="21" spans="1:8" ht="9" customHeight="1">
      <c r="A21" s="14"/>
      <c r="B21" s="14"/>
      <c r="C21" s="13"/>
      <c r="D21" s="13"/>
      <c r="E21" s="13"/>
      <c r="F21" s="13"/>
      <c r="G21" s="13"/>
      <c r="H21" s="13"/>
    </row>
    <row r="22" spans="1:8" ht="21" customHeight="1">
      <c r="A22" s="808" t="s">
        <v>4</v>
      </c>
      <c r="B22" s="809"/>
      <c r="C22" s="810"/>
      <c r="D22" s="816" t="s">
        <v>2</v>
      </c>
      <c r="E22" s="818" t="s">
        <v>0</v>
      </c>
      <c r="F22" s="819"/>
      <c r="G22" s="819"/>
      <c r="H22" s="820"/>
    </row>
    <row r="23" spans="1:8" ht="21">
      <c r="A23" s="811"/>
      <c r="B23" s="812"/>
      <c r="C23" s="813"/>
      <c r="D23" s="817"/>
      <c r="E23" s="167">
        <v>2554</v>
      </c>
      <c r="F23" s="167">
        <v>2555</v>
      </c>
      <c r="G23" s="167">
        <v>2556</v>
      </c>
      <c r="H23" s="167" t="s">
        <v>1</v>
      </c>
    </row>
    <row r="24" spans="1:8" ht="27" customHeight="1">
      <c r="A24" s="187">
        <v>1</v>
      </c>
      <c r="B24" s="805" t="s">
        <v>45</v>
      </c>
      <c r="C24" s="806"/>
      <c r="D24" s="188" t="s">
        <v>3</v>
      </c>
      <c r="E24" s="171">
        <f>SUM(E25:E27)</f>
        <v>0</v>
      </c>
      <c r="F24" s="171">
        <f>SUM(F25:F27)</f>
        <v>0</v>
      </c>
      <c r="G24" s="171">
        <f>SUM(G25:G27)</f>
        <v>0</v>
      </c>
      <c r="H24" s="171">
        <f t="shared" ref="H24:H35" si="0">SUM(E24:G24)</f>
        <v>0</v>
      </c>
    </row>
    <row r="25" spans="1:8" ht="21">
      <c r="A25" s="189"/>
      <c r="B25" s="190">
        <v>1.1000000000000001</v>
      </c>
      <c r="C25" s="191" t="s">
        <v>198</v>
      </c>
      <c r="D25" s="188" t="s">
        <v>3</v>
      </c>
      <c r="E25" s="184"/>
      <c r="F25" s="184"/>
      <c r="G25" s="184"/>
      <c r="H25" s="171">
        <f t="shared" si="0"/>
        <v>0</v>
      </c>
    </row>
    <row r="26" spans="1:8" ht="21" customHeight="1">
      <c r="A26" s="192"/>
      <c r="B26" s="190">
        <v>1.2</v>
      </c>
      <c r="C26" s="191" t="s">
        <v>199</v>
      </c>
      <c r="D26" s="188" t="s">
        <v>3</v>
      </c>
      <c r="E26" s="184"/>
      <c r="F26" s="184"/>
      <c r="G26" s="184"/>
      <c r="H26" s="171">
        <f t="shared" si="0"/>
        <v>0</v>
      </c>
    </row>
    <row r="27" spans="1:8" ht="21">
      <c r="A27" s="193"/>
      <c r="B27" s="190">
        <v>1.3</v>
      </c>
      <c r="C27" s="191" t="s">
        <v>200</v>
      </c>
      <c r="D27" s="188" t="s">
        <v>3</v>
      </c>
      <c r="E27" s="184"/>
      <c r="F27" s="184"/>
      <c r="G27" s="184"/>
      <c r="H27" s="171">
        <f t="shared" si="0"/>
        <v>0</v>
      </c>
    </row>
    <row r="28" spans="1:8" ht="21" customHeight="1">
      <c r="A28" s="187">
        <v>2</v>
      </c>
      <c r="B28" s="805" t="s">
        <v>201</v>
      </c>
      <c r="C28" s="806"/>
      <c r="D28" s="188" t="s">
        <v>3</v>
      </c>
      <c r="E28" s="171">
        <f>SUM(E29:E31)</f>
        <v>0</v>
      </c>
      <c r="F28" s="171">
        <f>SUM(F29:F31)</f>
        <v>0</v>
      </c>
      <c r="G28" s="171">
        <f>SUM(G29:G31)</f>
        <v>0</v>
      </c>
      <c r="H28" s="171">
        <f t="shared" si="0"/>
        <v>0</v>
      </c>
    </row>
    <row r="29" spans="1:8" ht="21">
      <c r="A29" s="189"/>
      <c r="B29" s="190">
        <v>2.1</v>
      </c>
      <c r="C29" s="191" t="s">
        <v>198</v>
      </c>
      <c r="D29" s="188" t="s">
        <v>3</v>
      </c>
      <c r="E29" s="184"/>
      <c r="F29" s="184"/>
      <c r="G29" s="184"/>
      <c r="H29" s="171">
        <f t="shared" si="0"/>
        <v>0</v>
      </c>
    </row>
    <row r="30" spans="1:8" ht="21" customHeight="1">
      <c r="A30" s="192"/>
      <c r="B30" s="190">
        <v>2.2000000000000002</v>
      </c>
      <c r="C30" s="191" t="s">
        <v>199</v>
      </c>
      <c r="D30" s="188" t="s">
        <v>3</v>
      </c>
      <c r="E30" s="184"/>
      <c r="F30" s="184"/>
      <c r="G30" s="184"/>
      <c r="H30" s="171">
        <f t="shared" si="0"/>
        <v>0</v>
      </c>
    </row>
    <row r="31" spans="1:8" ht="21">
      <c r="A31" s="193"/>
      <c r="B31" s="190">
        <v>2.2999999999999998</v>
      </c>
      <c r="C31" s="191" t="s">
        <v>200</v>
      </c>
      <c r="D31" s="188" t="s">
        <v>3</v>
      </c>
      <c r="E31" s="184"/>
      <c r="F31" s="184"/>
      <c r="G31" s="184"/>
      <c r="H31" s="171">
        <f t="shared" si="0"/>
        <v>0</v>
      </c>
    </row>
    <row r="32" spans="1:8" ht="21" customHeight="1">
      <c r="A32" s="187">
        <v>3</v>
      </c>
      <c r="B32" s="805" t="s">
        <v>44</v>
      </c>
      <c r="C32" s="806"/>
      <c r="D32" s="188" t="s">
        <v>41</v>
      </c>
      <c r="E32" s="194">
        <f>SUM(E33:E35)</f>
        <v>0</v>
      </c>
      <c r="F32" s="194">
        <f>SUM(F33:F35)</f>
        <v>0</v>
      </c>
      <c r="G32" s="194">
        <f>SUM(G33:G35)</f>
        <v>0</v>
      </c>
      <c r="H32" s="194">
        <f t="shared" si="0"/>
        <v>0</v>
      </c>
    </row>
    <row r="33" spans="1:8" ht="21">
      <c r="A33" s="189"/>
      <c r="B33" s="190">
        <v>2.1</v>
      </c>
      <c r="C33" s="191" t="s">
        <v>198</v>
      </c>
      <c r="D33" s="188" t="s">
        <v>41</v>
      </c>
      <c r="E33" s="195"/>
      <c r="F33" s="195"/>
      <c r="G33" s="195"/>
      <c r="H33" s="196">
        <f t="shared" si="0"/>
        <v>0</v>
      </c>
    </row>
    <row r="34" spans="1:8" ht="21">
      <c r="A34" s="192"/>
      <c r="B34" s="190">
        <v>2.2000000000000002</v>
      </c>
      <c r="C34" s="191" t="s">
        <v>199</v>
      </c>
      <c r="D34" s="188" t="s">
        <v>41</v>
      </c>
      <c r="E34" s="195"/>
      <c r="F34" s="195"/>
      <c r="G34" s="195"/>
      <c r="H34" s="196">
        <f t="shared" si="0"/>
        <v>0</v>
      </c>
    </row>
    <row r="35" spans="1:8" ht="21">
      <c r="A35" s="193"/>
      <c r="B35" s="190">
        <v>2.2999999999999998</v>
      </c>
      <c r="C35" s="191" t="s">
        <v>200</v>
      </c>
      <c r="D35" s="188" t="s">
        <v>41</v>
      </c>
      <c r="E35" s="195"/>
      <c r="F35" s="195"/>
      <c r="G35" s="195"/>
      <c r="H35" s="196">
        <f t="shared" si="0"/>
        <v>0</v>
      </c>
    </row>
    <row r="36" spans="1:8" ht="21">
      <c r="A36" s="187">
        <v>4</v>
      </c>
      <c r="B36" s="805" t="s">
        <v>202</v>
      </c>
      <c r="C36" s="806"/>
      <c r="D36" s="188" t="s">
        <v>41</v>
      </c>
      <c r="E36" s="194" t="e">
        <f>E32/E28</f>
        <v>#DIV/0!</v>
      </c>
      <c r="F36" s="194" t="e">
        <f>F32/F28</f>
        <v>#DIV/0!</v>
      </c>
      <c r="G36" s="194" t="e">
        <f t="shared" ref="F36:H39" si="1">G32/G28</f>
        <v>#DIV/0!</v>
      </c>
      <c r="H36" s="194" t="e">
        <f t="shared" si="1"/>
        <v>#DIV/0!</v>
      </c>
    </row>
    <row r="37" spans="1:8" ht="21">
      <c r="A37" s="189"/>
      <c r="B37" s="190">
        <v>2.1</v>
      </c>
      <c r="C37" s="191" t="s">
        <v>198</v>
      </c>
      <c r="D37" s="188" t="s">
        <v>41</v>
      </c>
      <c r="E37" s="196" t="e">
        <f>E33/E29</f>
        <v>#DIV/0!</v>
      </c>
      <c r="F37" s="196" t="e">
        <f t="shared" si="1"/>
        <v>#DIV/0!</v>
      </c>
      <c r="G37" s="196" t="e">
        <f t="shared" si="1"/>
        <v>#DIV/0!</v>
      </c>
      <c r="H37" s="196" t="e">
        <f t="shared" si="1"/>
        <v>#DIV/0!</v>
      </c>
    </row>
    <row r="38" spans="1:8" ht="21">
      <c r="A38" s="192"/>
      <c r="B38" s="190">
        <v>2.2000000000000002</v>
      </c>
      <c r="C38" s="191" t="s">
        <v>199</v>
      </c>
      <c r="D38" s="188" t="s">
        <v>41</v>
      </c>
      <c r="E38" s="196" t="e">
        <f t="shared" ref="E38:G39" si="2">E34/E30</f>
        <v>#DIV/0!</v>
      </c>
      <c r="F38" s="196" t="e">
        <f t="shared" si="2"/>
        <v>#DIV/0!</v>
      </c>
      <c r="G38" s="196" t="e">
        <f t="shared" si="2"/>
        <v>#DIV/0!</v>
      </c>
      <c r="H38" s="196" t="e">
        <f t="shared" si="1"/>
        <v>#DIV/0!</v>
      </c>
    </row>
    <row r="39" spans="1:8" ht="21">
      <c r="A39" s="193"/>
      <c r="B39" s="190">
        <v>2.2999999999999998</v>
      </c>
      <c r="C39" s="191" t="s">
        <v>200</v>
      </c>
      <c r="D39" s="188" t="s">
        <v>41</v>
      </c>
      <c r="E39" s="196" t="e">
        <f t="shared" si="2"/>
        <v>#DIV/0!</v>
      </c>
      <c r="F39" s="196" t="e">
        <f t="shared" si="2"/>
        <v>#DIV/0!</v>
      </c>
      <c r="G39" s="196" t="e">
        <f t="shared" si="2"/>
        <v>#DIV/0!</v>
      </c>
      <c r="H39" s="196" t="e">
        <f t="shared" si="1"/>
        <v>#DIV/0!</v>
      </c>
    </row>
    <row r="40" spans="1:8" ht="21.75">
      <c r="A40" s="35"/>
      <c r="B40" s="36"/>
      <c r="C40" s="36"/>
      <c r="D40" s="37"/>
      <c r="E40" s="38"/>
      <c r="F40" s="38"/>
      <c r="G40" s="38"/>
      <c r="H40" s="39"/>
    </row>
    <row r="41" spans="1:8" ht="21.75">
      <c r="A41" s="740" t="s">
        <v>951</v>
      </c>
      <c r="B41" s="740"/>
      <c r="C41" s="740"/>
      <c r="D41" s="37"/>
      <c r="E41" s="38"/>
      <c r="F41" s="38"/>
      <c r="G41" s="38"/>
      <c r="H41" s="39"/>
    </row>
    <row r="42" spans="1:8" ht="18" customHeight="1">
      <c r="A42" s="40"/>
      <c r="B42" s="42"/>
      <c r="C42" s="755">
        <v>1</v>
      </c>
      <c r="D42" s="755"/>
      <c r="E42" s="755"/>
      <c r="F42" s="755"/>
      <c r="G42" s="755"/>
      <c r="H42" s="755"/>
    </row>
    <row r="43" spans="1:8" ht="21.75">
      <c r="A43" s="35"/>
      <c r="B43" s="41"/>
      <c r="C43" s="755">
        <v>2</v>
      </c>
      <c r="D43" s="755"/>
      <c r="E43" s="755"/>
      <c r="F43" s="755"/>
      <c r="G43" s="755"/>
      <c r="H43" s="755"/>
    </row>
    <row r="44" spans="1:8" ht="21.75">
      <c r="A44" s="35"/>
      <c r="B44" s="41"/>
      <c r="C44" s="755">
        <v>3</v>
      </c>
      <c r="D44" s="755"/>
      <c r="E44" s="755"/>
      <c r="F44" s="755"/>
      <c r="G44" s="755"/>
      <c r="H44" s="755"/>
    </row>
    <row r="45" spans="1:8" ht="21.75">
      <c r="A45" s="35"/>
      <c r="B45" s="41"/>
      <c r="C45" s="42"/>
      <c r="D45" s="37"/>
      <c r="E45" s="38"/>
      <c r="F45" s="38"/>
      <c r="G45" s="38"/>
      <c r="H45" s="39"/>
    </row>
    <row r="46" spans="1:8" ht="21.75">
      <c r="A46" s="35"/>
      <c r="B46" s="41"/>
      <c r="C46" s="42"/>
      <c r="D46" s="37"/>
      <c r="E46" s="38"/>
      <c r="F46" s="38"/>
      <c r="G46" s="38"/>
      <c r="H46" s="39"/>
    </row>
    <row r="47" spans="1:8" ht="21.75">
      <c r="A47" s="43"/>
      <c r="B47" s="44"/>
      <c r="C47" s="44"/>
      <c r="D47" s="32"/>
      <c r="E47" s="45"/>
      <c r="F47" s="45"/>
      <c r="G47" s="45"/>
      <c r="H47" s="45"/>
    </row>
    <row r="48" spans="1:8" ht="21.75">
      <c r="A48" s="2"/>
      <c r="B48" s="2"/>
      <c r="C48" s="1"/>
      <c r="D48" s="1"/>
      <c r="E48" s="1"/>
      <c r="F48" s="1"/>
      <c r="G48" s="1"/>
      <c r="H48" s="1"/>
    </row>
  </sheetData>
  <mergeCells count="41">
    <mergeCell ref="C42:H42"/>
    <mergeCell ref="C43:H43"/>
    <mergeCell ref="C44:H44"/>
    <mergeCell ref="S12:S15"/>
    <mergeCell ref="Q13:R13"/>
    <mergeCell ref="Q14:R14"/>
    <mergeCell ref="Q15:R15"/>
    <mergeCell ref="A41:C41"/>
    <mergeCell ref="F14:G14"/>
    <mergeCell ref="B15:D15"/>
    <mergeCell ref="A20:G20"/>
    <mergeCell ref="C17:E17"/>
    <mergeCell ref="C18:E18"/>
    <mergeCell ref="D22:D23"/>
    <mergeCell ref="E22:H22"/>
    <mergeCell ref="B24:C24"/>
    <mergeCell ref="Q11:R11"/>
    <mergeCell ref="Q12:R12"/>
    <mergeCell ref="B28:C28"/>
    <mergeCell ref="B32:C32"/>
    <mergeCell ref="H12:H15"/>
    <mergeCell ref="F16:H16"/>
    <mergeCell ref="F17:H17"/>
    <mergeCell ref="F18:H18"/>
    <mergeCell ref="A11:D11"/>
    <mergeCell ref="F11:G11"/>
    <mergeCell ref="A22:C23"/>
    <mergeCell ref="B36:C36"/>
    <mergeCell ref="B14:D14"/>
    <mergeCell ref="A1:H1"/>
    <mergeCell ref="A2:H2"/>
    <mergeCell ref="A3:H3"/>
    <mergeCell ref="A4:H4"/>
    <mergeCell ref="G6:H6"/>
    <mergeCell ref="A6:F7"/>
    <mergeCell ref="A9:G9"/>
    <mergeCell ref="B13:D13"/>
    <mergeCell ref="F13:G13"/>
    <mergeCell ref="B12:D12"/>
    <mergeCell ref="F12:G12"/>
    <mergeCell ref="F15:G15"/>
  </mergeCells>
  <phoneticPr fontId="2" type="noConversion"/>
  <dataValidations count="3">
    <dataValidation type="list" errorStyle="information" allowBlank="1" showInputMessage="1" showErrorMessage="1" prompt="กรุณาเลือก" sqref="G6:H6">
      <formula1>$L$4:$L$8</formula1>
    </dataValidation>
    <dataValidation allowBlank="1" showInputMessage="1" showErrorMessage="1" prompt="กรุณาใส่คะแนนตามที่หน่วยงานรายงาน_x000a_" sqref="F18"/>
    <dataValidation allowBlank="1" showInputMessage="1" showErrorMessage="1" prompt="กรุณาใส่ผลการดำเนินงานตามรายงานของหน่วยงาน" sqref="F17"/>
  </dataValidations>
  <pageMargins left="0.53" right="0.23" top="1" bottom="1" header="0.5" footer="0.5"/>
  <pageSetup paperSize="9" scale="97" orientation="portrait" horizontalDpi="1200" verticalDpi="1200" r:id="rId1"/>
  <headerFooter alignWithMargins="0"/>
  <rowBreaks count="1" manualBreakCount="1">
    <brk id="1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5"/>
  <sheetViews>
    <sheetView tabSelected="1" view="pageBreakPreview" zoomScaleNormal="100" zoomScaleSheetLayoutView="100" workbookViewId="0">
      <selection activeCell="A42" sqref="A42:XFD45"/>
    </sheetView>
  </sheetViews>
  <sheetFormatPr defaultRowHeight="12.75"/>
  <cols>
    <col min="1" max="1" width="2.5703125" customWidth="1"/>
    <col min="2" max="2" width="4.7109375" customWidth="1"/>
    <col min="3" max="3" width="44.140625" customWidth="1"/>
    <col min="4" max="4" width="7.140625" customWidth="1"/>
    <col min="5" max="5" width="7.42578125" customWidth="1"/>
    <col min="6" max="6" width="7.7109375" customWidth="1"/>
    <col min="7" max="7" width="7.28515625" customWidth="1"/>
    <col min="8" max="8" width="7.85546875" customWidth="1"/>
    <col min="9" max="9" width="7.28515625" customWidth="1"/>
    <col min="10" max="15" width="0" hidden="1" customWidth="1"/>
    <col min="16" max="16" width="9.140625" hidden="1" customWidth="1"/>
    <col min="17" max="19" width="0" hidden="1" customWidth="1"/>
  </cols>
  <sheetData>
    <row r="1" spans="1:23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3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3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3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3" ht="23.25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23" ht="23.25">
      <c r="A6" s="102" t="s">
        <v>564</v>
      </c>
      <c r="B6" s="14"/>
      <c r="C6" s="14"/>
      <c r="D6" s="13"/>
      <c r="E6" s="13"/>
      <c r="F6" s="13"/>
      <c r="G6" s="741" t="s">
        <v>61</v>
      </c>
      <c r="H6" s="741"/>
      <c r="I6" s="741"/>
      <c r="L6" s="82" t="s">
        <v>62</v>
      </c>
    </row>
    <row r="7" spans="1:23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23" ht="23.25">
      <c r="A8" s="727" t="s">
        <v>160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23" ht="21.75">
      <c r="A9" s="15"/>
      <c r="B9" s="13"/>
      <c r="C9" s="13"/>
      <c r="D9" s="13"/>
      <c r="E9" s="13"/>
      <c r="F9" s="13"/>
      <c r="G9" s="13"/>
      <c r="H9" s="13"/>
    </row>
    <row r="10" spans="1:23" ht="21.75">
      <c r="A10" s="15"/>
      <c r="B10" s="14"/>
      <c r="C10" s="14"/>
      <c r="D10" s="13"/>
      <c r="E10" s="13"/>
      <c r="F10" s="13"/>
      <c r="G10" s="13"/>
      <c r="H10" s="13"/>
      <c r="I10" s="16"/>
    </row>
    <row r="11" spans="1:23" ht="43.5" customHeight="1">
      <c r="A11" s="747" t="s">
        <v>932</v>
      </c>
      <c r="B11" s="748"/>
      <c r="C11" s="748"/>
      <c r="D11" s="749"/>
      <c r="E11" s="445" t="s">
        <v>8</v>
      </c>
      <c r="F11" s="750" t="s">
        <v>929</v>
      </c>
      <c r="G11" s="751"/>
      <c r="H11" s="750" t="s">
        <v>7</v>
      </c>
      <c r="I11" s="751"/>
      <c r="J11" s="48"/>
      <c r="L11" s="454"/>
      <c r="T11" s="750" t="s">
        <v>605</v>
      </c>
      <c r="U11" s="751"/>
      <c r="V11" s="750" t="s">
        <v>7</v>
      </c>
      <c r="W11" s="751"/>
    </row>
    <row r="12" spans="1:23" ht="21.75">
      <c r="A12" s="20">
        <v>1</v>
      </c>
      <c r="B12" s="736" t="s">
        <v>565</v>
      </c>
      <c r="C12" s="736"/>
      <c r="D12" s="737"/>
      <c r="E12" s="153" t="s">
        <v>3</v>
      </c>
      <c r="F12" s="790">
        <f>+G23</f>
        <v>0</v>
      </c>
      <c r="G12" s="790"/>
      <c r="H12" s="827" t="e">
        <f>IF(G6&lt;&gt;"ประเมิน",G6,IF(F15&gt;=L14,5,ROUND(F15*5/L14,2)))</f>
        <v>#DIV/0!</v>
      </c>
      <c r="I12" s="827"/>
      <c r="L12" s="16" t="s">
        <v>9</v>
      </c>
      <c r="P12" s="454"/>
      <c r="T12" s="790">
        <f>+H23</f>
        <v>0</v>
      </c>
      <c r="U12" s="790"/>
      <c r="V12" s="827" t="e">
        <f>IF(G6&lt;&gt;"ประเมิน",G6,IF(T15&gt;=L14,5,ROUND(T15*5/L14,2)))</f>
        <v>#DIV/0!</v>
      </c>
      <c r="W12" s="827"/>
    </row>
    <row r="13" spans="1:23" ht="21.75">
      <c r="A13" s="20">
        <v>2</v>
      </c>
      <c r="B13" s="736" t="s">
        <v>566</v>
      </c>
      <c r="C13" s="736"/>
      <c r="D13" s="737"/>
      <c r="E13" s="153" t="s">
        <v>567</v>
      </c>
      <c r="F13" s="828">
        <f>G24</f>
        <v>0</v>
      </c>
      <c r="G13" s="829"/>
      <c r="H13" s="827"/>
      <c r="I13" s="827"/>
      <c r="L13" s="16"/>
      <c r="P13" s="454"/>
      <c r="T13" s="828">
        <f>H24</f>
        <v>0</v>
      </c>
      <c r="U13" s="829"/>
      <c r="V13" s="827"/>
      <c r="W13" s="827"/>
    </row>
    <row r="14" spans="1:23" ht="21.75">
      <c r="A14" s="20">
        <v>2</v>
      </c>
      <c r="B14" s="736" t="s">
        <v>568</v>
      </c>
      <c r="C14" s="736"/>
      <c r="D14" s="737"/>
      <c r="E14" s="383" t="s">
        <v>482</v>
      </c>
      <c r="F14" s="825">
        <f>+S24</f>
        <v>0</v>
      </c>
      <c r="G14" s="825"/>
      <c r="H14" s="827"/>
      <c r="I14" s="827"/>
      <c r="L14" s="16">
        <v>25</v>
      </c>
      <c r="T14" s="825">
        <f>+I24</f>
        <v>0</v>
      </c>
      <c r="U14" s="825"/>
      <c r="V14" s="827"/>
      <c r="W14" s="827"/>
    </row>
    <row r="15" spans="1:23" ht="21.75">
      <c r="A15" s="20">
        <v>3</v>
      </c>
      <c r="B15" s="736" t="s">
        <v>569</v>
      </c>
      <c r="C15" s="736"/>
      <c r="D15" s="737"/>
      <c r="E15" s="153" t="s">
        <v>5</v>
      </c>
      <c r="F15" s="826" t="e">
        <f>+IF(G6&lt;&gt;"ประเมิน",G6,ROUND(F14/F12*100,2))</f>
        <v>#DIV/0!</v>
      </c>
      <c r="G15" s="826"/>
      <c r="H15" s="827"/>
      <c r="I15" s="827"/>
      <c r="T15" s="826" t="e">
        <f>+IF(G6&lt;&gt;"ประเมิน",G6,ROUND(T14/T12*100,2))</f>
        <v>#DIV/0!</v>
      </c>
      <c r="U15" s="826"/>
      <c r="V15" s="827"/>
      <c r="W15" s="827"/>
    </row>
    <row r="16" spans="1:23" ht="21.75">
      <c r="B16" s="130"/>
      <c r="C16" s="130"/>
      <c r="D16" s="130"/>
      <c r="F16" s="797"/>
      <c r="G16" s="797"/>
      <c r="H16" s="797"/>
      <c r="I16" s="797"/>
    </row>
    <row r="17" spans="1:19" ht="21.75">
      <c r="B17" s="40"/>
      <c r="C17" s="791"/>
      <c r="D17" s="791"/>
      <c r="E17" s="791"/>
      <c r="F17" s="746"/>
      <c r="G17" s="746"/>
      <c r="H17" s="746"/>
      <c r="I17" s="746"/>
    </row>
    <row r="18" spans="1:19" ht="21.75">
      <c r="A18" s="40"/>
      <c r="B18" s="40"/>
      <c r="C18" s="791"/>
      <c r="D18" s="791"/>
      <c r="E18" s="791"/>
      <c r="F18" s="746"/>
      <c r="G18" s="746"/>
      <c r="H18" s="746"/>
      <c r="I18" s="746"/>
    </row>
    <row r="19" spans="1:19" ht="23.25">
      <c r="A19" s="727" t="s">
        <v>77</v>
      </c>
      <c r="B19" s="727"/>
      <c r="C19" s="727"/>
      <c r="D19" s="727"/>
      <c r="E19" s="727"/>
      <c r="F19" s="727"/>
      <c r="G19" s="727"/>
      <c r="H19" s="13"/>
      <c r="I19" s="16"/>
    </row>
    <row r="20" spans="1:19" ht="9.75" customHeight="1">
      <c r="A20" s="14"/>
      <c r="B20" s="14"/>
      <c r="C20" s="13"/>
      <c r="D20" s="13"/>
      <c r="E20" s="13"/>
      <c r="F20" s="13"/>
      <c r="G20" s="13"/>
      <c r="H20" s="13"/>
      <c r="I20" s="16"/>
      <c r="L20" s="454"/>
    </row>
    <row r="21" spans="1:19" ht="21.75">
      <c r="A21" s="745" t="s">
        <v>4</v>
      </c>
      <c r="B21" s="745"/>
      <c r="C21" s="745"/>
      <c r="D21" s="823" t="s">
        <v>2</v>
      </c>
      <c r="E21" s="759" t="s">
        <v>0</v>
      </c>
      <c r="F21" s="759"/>
      <c r="G21" s="759"/>
      <c r="H21" s="759"/>
      <c r="I21" s="821" t="s">
        <v>21</v>
      </c>
      <c r="L21" s="454"/>
    </row>
    <row r="22" spans="1:19" ht="21.75">
      <c r="A22" s="745"/>
      <c r="B22" s="745"/>
      <c r="C22" s="745"/>
      <c r="D22" s="824"/>
      <c r="E22" s="448">
        <v>2554</v>
      </c>
      <c r="F22" s="448">
        <v>2555</v>
      </c>
      <c r="G22" s="448">
        <v>2556</v>
      </c>
      <c r="H22" s="448" t="s">
        <v>1</v>
      </c>
      <c r="I22" s="822"/>
    </row>
    <row r="23" spans="1:19" ht="21.75">
      <c r="A23" s="11">
        <v>1</v>
      </c>
      <c r="B23" s="736" t="s">
        <v>565</v>
      </c>
      <c r="C23" s="737"/>
      <c r="D23" s="153" t="s">
        <v>3</v>
      </c>
      <c r="E23" s="115"/>
      <c r="F23" s="115"/>
      <c r="G23" s="115"/>
      <c r="H23" s="235">
        <f>SUM(E23:G23)</f>
        <v>0</v>
      </c>
      <c r="I23" s="247"/>
      <c r="L23" s="454"/>
    </row>
    <row r="24" spans="1:19" ht="24.75" customHeight="1">
      <c r="A24" s="10">
        <v>2</v>
      </c>
      <c r="B24" s="736" t="s">
        <v>11</v>
      </c>
      <c r="C24" s="737"/>
      <c r="D24" s="153" t="s">
        <v>12</v>
      </c>
      <c r="E24" s="235">
        <f>SUM(E25:E31,E37:E39)</f>
        <v>0</v>
      </c>
      <c r="F24" s="235">
        <f t="shared" ref="F24:H24" si="0">SUM(F25:F31,F37:F39)</f>
        <v>0</v>
      </c>
      <c r="G24" s="235">
        <f t="shared" si="0"/>
        <v>0</v>
      </c>
      <c r="H24" s="235">
        <f t="shared" si="0"/>
        <v>0</v>
      </c>
      <c r="I24" s="246">
        <f>SUM(I25:I39)</f>
        <v>0</v>
      </c>
      <c r="S24" s="135">
        <f>SUM(S25:S39)</f>
        <v>0</v>
      </c>
    </row>
    <row r="25" spans="1:19" ht="21.75">
      <c r="A25" s="8"/>
      <c r="B25" s="446">
        <v>2.1</v>
      </c>
      <c r="C25" s="447" t="s">
        <v>570</v>
      </c>
      <c r="D25" s="153" t="s">
        <v>12</v>
      </c>
      <c r="E25" s="115"/>
      <c r="F25" s="115"/>
      <c r="G25" s="115"/>
      <c r="H25" s="235">
        <f>SUM(E25:G25)</f>
        <v>0</v>
      </c>
      <c r="I25" s="246">
        <f>+H25*0.25</f>
        <v>0</v>
      </c>
      <c r="L25" s="454"/>
      <c r="S25" s="135">
        <f>+G25*0.25</f>
        <v>0</v>
      </c>
    </row>
    <row r="26" spans="1:19" ht="43.5">
      <c r="A26" s="8"/>
      <c r="B26" s="446">
        <v>2.2000000000000002</v>
      </c>
      <c r="C26" s="447" t="s">
        <v>571</v>
      </c>
      <c r="D26" s="153" t="s">
        <v>12</v>
      </c>
      <c r="E26" s="115"/>
      <c r="F26" s="115"/>
      <c r="G26" s="115"/>
      <c r="H26" s="235">
        <f t="shared" ref="H26:H39" si="1">SUM(E26:G26)</f>
        <v>0</v>
      </c>
      <c r="I26" s="246">
        <f>+H26*0.5</f>
        <v>0</v>
      </c>
      <c r="L26" s="454"/>
      <c r="S26" s="135">
        <f>+G26*0.5</f>
        <v>0</v>
      </c>
    </row>
    <row r="27" spans="1:19" ht="43.5">
      <c r="A27" s="8"/>
      <c r="B27" s="446">
        <v>2.2999999999999998</v>
      </c>
      <c r="C27" s="447" t="s">
        <v>572</v>
      </c>
      <c r="D27" s="153" t="s">
        <v>12</v>
      </c>
      <c r="E27" s="115"/>
      <c r="F27" s="115"/>
      <c r="G27" s="115"/>
      <c r="H27" s="235">
        <f t="shared" si="1"/>
        <v>0</v>
      </c>
      <c r="I27" s="246">
        <f>+H27*0.75</f>
        <v>0</v>
      </c>
      <c r="L27" s="454"/>
      <c r="S27" s="135">
        <f>+G27*0.75</f>
        <v>0</v>
      </c>
    </row>
    <row r="28" spans="1:19" ht="21.75">
      <c r="A28" s="8"/>
      <c r="B28" s="446">
        <v>2.4</v>
      </c>
      <c r="C28" s="447" t="s">
        <v>573</v>
      </c>
      <c r="D28" s="153" t="s">
        <v>12</v>
      </c>
      <c r="E28" s="115"/>
      <c r="F28" s="115"/>
      <c r="G28" s="115"/>
      <c r="H28" s="235">
        <f t="shared" si="1"/>
        <v>0</v>
      </c>
      <c r="I28" s="246">
        <f>+H28*0.75</f>
        <v>0</v>
      </c>
      <c r="S28" s="135">
        <f>+G28*0.75</f>
        <v>0</v>
      </c>
    </row>
    <row r="29" spans="1:19" ht="21.75">
      <c r="A29" s="8"/>
      <c r="B29" s="446">
        <v>2.5</v>
      </c>
      <c r="C29" s="447" t="s">
        <v>574</v>
      </c>
      <c r="D29" s="153" t="s">
        <v>12</v>
      </c>
      <c r="E29" s="115"/>
      <c r="F29" s="115"/>
      <c r="G29" s="115"/>
      <c r="H29" s="235">
        <f t="shared" si="1"/>
        <v>0</v>
      </c>
      <c r="I29" s="246">
        <f>+H29*1</f>
        <v>0</v>
      </c>
      <c r="S29" s="135">
        <f>+G29*1</f>
        <v>0</v>
      </c>
    </row>
    <row r="30" spans="1:19" ht="21.75">
      <c r="A30" s="8"/>
      <c r="B30" s="446">
        <v>2.6</v>
      </c>
      <c r="C30" s="447" t="s">
        <v>16</v>
      </c>
      <c r="D30" s="153" t="s">
        <v>12</v>
      </c>
      <c r="E30" s="115"/>
      <c r="F30" s="115"/>
      <c r="G30" s="115"/>
      <c r="H30" s="235">
        <f t="shared" si="1"/>
        <v>0</v>
      </c>
      <c r="I30" s="246">
        <f>+H30*0.125</f>
        <v>0</v>
      </c>
      <c r="S30" s="135">
        <f>+G30*0.125</f>
        <v>0</v>
      </c>
    </row>
    <row r="31" spans="1:19" ht="21.75">
      <c r="A31" s="8"/>
      <c r="B31" s="446">
        <v>2.7</v>
      </c>
      <c r="C31" s="447" t="s">
        <v>17</v>
      </c>
      <c r="D31" s="153" t="s">
        <v>12</v>
      </c>
      <c r="E31" s="115"/>
      <c r="F31" s="115"/>
      <c r="G31" s="115"/>
      <c r="H31" s="235">
        <f t="shared" si="1"/>
        <v>0</v>
      </c>
      <c r="I31" s="246">
        <f>+H31*0.25</f>
        <v>0</v>
      </c>
      <c r="S31" s="135">
        <f>+G31*0.25</f>
        <v>0</v>
      </c>
    </row>
    <row r="32" spans="1:19" ht="21.75">
      <c r="A32" s="455"/>
      <c r="B32" s="444"/>
      <c r="C32" s="444"/>
      <c r="D32" s="37"/>
      <c r="E32" s="132"/>
      <c r="F32" s="132"/>
      <c r="G32" s="132"/>
      <c r="H32" s="133"/>
      <c r="I32" s="456"/>
    </row>
    <row r="33" spans="1:19" ht="23.25">
      <c r="A33" s="727" t="s">
        <v>77</v>
      </c>
      <c r="B33" s="727"/>
      <c r="C33" s="727"/>
      <c r="D33" s="727"/>
      <c r="E33" s="727"/>
      <c r="F33" s="727"/>
      <c r="G33" s="727"/>
      <c r="H33" s="13"/>
      <c r="I33" s="16"/>
    </row>
    <row r="34" spans="1:19" ht="9.75" customHeight="1">
      <c r="A34" s="14"/>
      <c r="B34" s="14"/>
      <c r="C34" s="13"/>
      <c r="D34" s="13"/>
      <c r="E34" s="13"/>
      <c r="F34" s="13"/>
      <c r="G34" s="13"/>
      <c r="H34" s="13"/>
      <c r="I34" s="16"/>
      <c r="L34" s="454"/>
    </row>
    <row r="35" spans="1:19" ht="21.75">
      <c r="A35" s="745" t="s">
        <v>4</v>
      </c>
      <c r="B35" s="745"/>
      <c r="C35" s="745"/>
      <c r="D35" s="823" t="s">
        <v>2</v>
      </c>
      <c r="E35" s="759" t="s">
        <v>0</v>
      </c>
      <c r="F35" s="759"/>
      <c r="G35" s="759"/>
      <c r="H35" s="759"/>
      <c r="I35" s="821" t="s">
        <v>21</v>
      </c>
      <c r="L35" s="454"/>
    </row>
    <row r="36" spans="1:19" ht="21.75">
      <c r="A36" s="745"/>
      <c r="B36" s="745"/>
      <c r="C36" s="745"/>
      <c r="D36" s="824"/>
      <c r="E36" s="448">
        <v>2554</v>
      </c>
      <c r="F36" s="448">
        <v>2555</v>
      </c>
      <c r="G36" s="448">
        <v>2556</v>
      </c>
      <c r="H36" s="448" t="s">
        <v>1</v>
      </c>
      <c r="I36" s="822"/>
    </row>
    <row r="37" spans="1:19" ht="43.5">
      <c r="A37" s="8"/>
      <c r="B37" s="457">
        <v>2.8</v>
      </c>
      <c r="C37" s="447" t="s">
        <v>18</v>
      </c>
      <c r="D37" s="153" t="s">
        <v>12</v>
      </c>
      <c r="E37" s="115"/>
      <c r="F37" s="115"/>
      <c r="G37" s="115"/>
      <c r="H37" s="235">
        <f t="shared" si="1"/>
        <v>0</v>
      </c>
      <c r="I37" s="246">
        <f>+H37*0.5</f>
        <v>0</v>
      </c>
      <c r="S37" s="135">
        <f>+G37*0.5</f>
        <v>0</v>
      </c>
    </row>
    <row r="38" spans="1:19" ht="21.75">
      <c r="A38" s="8"/>
      <c r="B38" s="446">
        <v>2.9</v>
      </c>
      <c r="C38" s="447" t="s">
        <v>19</v>
      </c>
      <c r="D38" s="153" t="s">
        <v>12</v>
      </c>
      <c r="E38" s="115"/>
      <c r="F38" s="115"/>
      <c r="G38" s="115"/>
      <c r="H38" s="235">
        <f t="shared" si="1"/>
        <v>0</v>
      </c>
      <c r="I38" s="246">
        <f>+H38*0.75</f>
        <v>0</v>
      </c>
      <c r="S38" s="135">
        <f>+G38*0.75</f>
        <v>0</v>
      </c>
    </row>
    <row r="39" spans="1:19" ht="21.75">
      <c r="A39" s="9"/>
      <c r="B39" s="49">
        <v>2.1</v>
      </c>
      <c r="C39" s="447" t="s">
        <v>20</v>
      </c>
      <c r="D39" s="153" t="s">
        <v>12</v>
      </c>
      <c r="E39" s="115"/>
      <c r="F39" s="115"/>
      <c r="G39" s="115"/>
      <c r="H39" s="235">
        <f t="shared" si="1"/>
        <v>0</v>
      </c>
      <c r="I39" s="246">
        <f>+H39*1</f>
        <v>0</v>
      </c>
      <c r="S39" s="135">
        <f>+G39*1</f>
        <v>0</v>
      </c>
    </row>
    <row r="42" spans="1:19" ht="21.75">
      <c r="A42" s="740" t="s">
        <v>951</v>
      </c>
      <c r="B42" s="740"/>
      <c r="C42" s="740"/>
      <c r="D42" s="37"/>
      <c r="E42" s="38"/>
      <c r="F42" s="38"/>
      <c r="G42" s="38"/>
      <c r="H42" s="39"/>
    </row>
    <row r="43" spans="1:19" ht="18" customHeight="1">
      <c r="A43" s="40"/>
      <c r="B43" s="42"/>
      <c r="C43" s="755">
        <v>1</v>
      </c>
      <c r="D43" s="755"/>
      <c r="E43" s="755"/>
      <c r="F43" s="755"/>
      <c r="G43" s="755"/>
      <c r="H43" s="755"/>
    </row>
    <row r="44" spans="1:19" ht="21.75">
      <c r="A44" s="35"/>
      <c r="B44" s="41"/>
      <c r="C44" s="755">
        <v>2</v>
      </c>
      <c r="D44" s="755"/>
      <c r="E44" s="755"/>
      <c r="F44" s="755"/>
      <c r="G44" s="755"/>
      <c r="H44" s="755"/>
    </row>
    <row r="45" spans="1:19" ht="21.75">
      <c r="A45" s="35"/>
      <c r="B45" s="41"/>
      <c r="C45" s="755">
        <v>3</v>
      </c>
      <c r="D45" s="755"/>
      <c r="E45" s="755"/>
      <c r="F45" s="755"/>
      <c r="G45" s="755"/>
      <c r="H45" s="755"/>
    </row>
  </sheetData>
  <mergeCells count="46">
    <mergeCell ref="T11:U11"/>
    <mergeCell ref="V11:W11"/>
    <mergeCell ref="T12:U12"/>
    <mergeCell ref="V12:W15"/>
    <mergeCell ref="T13:U13"/>
    <mergeCell ref="T14:U14"/>
    <mergeCell ref="T15:U15"/>
    <mergeCell ref="A8:G8"/>
    <mergeCell ref="A42:C42"/>
    <mergeCell ref="C43:H43"/>
    <mergeCell ref="C44:H44"/>
    <mergeCell ref="C45:H45"/>
    <mergeCell ref="C18:E18"/>
    <mergeCell ref="F18:I18"/>
    <mergeCell ref="A11:D11"/>
    <mergeCell ref="F11:G11"/>
    <mergeCell ref="H11:I11"/>
    <mergeCell ref="B12:D12"/>
    <mergeCell ref="F12:G12"/>
    <mergeCell ref="H12:I15"/>
    <mergeCell ref="B13:D13"/>
    <mergeCell ref="F13:G13"/>
    <mergeCell ref="B14:D14"/>
    <mergeCell ref="A1:I1"/>
    <mergeCell ref="A2:I2"/>
    <mergeCell ref="A3:I3"/>
    <mergeCell ref="A4:I4"/>
    <mergeCell ref="G6:I6"/>
    <mergeCell ref="F14:G14"/>
    <mergeCell ref="B15:D15"/>
    <mergeCell ref="F15:G15"/>
    <mergeCell ref="F16:I16"/>
    <mergeCell ref="C17:E17"/>
    <mergeCell ref="F17:I17"/>
    <mergeCell ref="I35:I36"/>
    <mergeCell ref="A19:G19"/>
    <mergeCell ref="A21:C22"/>
    <mergeCell ref="D21:D22"/>
    <mergeCell ref="E21:H21"/>
    <mergeCell ref="I21:I22"/>
    <mergeCell ref="B23:C23"/>
    <mergeCell ref="B24:C24"/>
    <mergeCell ref="A33:G33"/>
    <mergeCell ref="A35:C36"/>
    <mergeCell ref="D35:D36"/>
    <mergeCell ref="E35:H35"/>
  </mergeCells>
  <dataValidations count="3">
    <dataValidation allowBlank="1" showInputMessage="1" showErrorMessage="1" prompt="กรุณาใส่คะแนนตามที่หน่วยงานรายงาน_x000a_" sqref="F18"/>
    <dataValidation allowBlank="1" showInputMessage="1" showErrorMessage="1" prompt="กรุณาใส่ผลการดำเนินงานตามรายงานของหน่วยงาน" sqref="F17"/>
    <dataValidation type="list" errorStyle="information" allowBlank="1" showInputMessage="1" showErrorMessage="1" prompt="กรุณาเลือก" sqref="G6">
      <formula1>$L$5:$L$8</formula1>
    </dataValidation>
  </dataValidations>
  <pageMargins left="0.7" right="0.7" top="0.75" bottom="0.75" header="0.3" footer="0.3"/>
  <pageSetup paperSize="9" scale="92" orientation="portrait" r:id="rId1"/>
  <rowBreaks count="1" manualBreakCount="1">
    <brk id="31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U49"/>
  <sheetViews>
    <sheetView view="pageBreakPreview" topLeftCell="A35" zoomScaleNormal="100" zoomScaleSheetLayoutView="100" workbookViewId="0">
      <selection activeCell="G46" sqref="G46"/>
    </sheetView>
  </sheetViews>
  <sheetFormatPr defaultRowHeight="12.75"/>
  <cols>
    <col min="1" max="1" width="2.85546875" customWidth="1"/>
    <col min="2" max="2" width="4.5703125" customWidth="1"/>
    <col min="3" max="3" width="43.85546875" customWidth="1"/>
    <col min="4" max="4" width="7.5703125" customWidth="1"/>
    <col min="5" max="5" width="7.28515625" customWidth="1"/>
    <col min="6" max="6" width="6.85546875" customWidth="1"/>
    <col min="7" max="7" width="6.42578125" customWidth="1"/>
    <col min="8" max="8" width="7.7109375" bestFit="1" customWidth="1"/>
    <col min="9" max="9" width="7.28515625" customWidth="1"/>
    <col min="10" max="21" width="0" hidden="1" customWidth="1"/>
  </cols>
  <sheetData>
    <row r="1" spans="1:16" s="78" customFormat="1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28"/>
      <c r="J1" s="81" t="s">
        <v>29</v>
      </c>
      <c r="K1" s="51" t="s">
        <v>32</v>
      </c>
      <c r="N1" s="16"/>
      <c r="P1" s="17" t="s">
        <v>9</v>
      </c>
    </row>
    <row r="2" spans="1:16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J2" s="81" t="s">
        <v>30</v>
      </c>
      <c r="K2" s="51" t="s">
        <v>31</v>
      </c>
      <c r="N2" s="16"/>
      <c r="P2" s="17">
        <v>100</v>
      </c>
    </row>
    <row r="3" spans="1:16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K3" s="48" t="s">
        <v>72</v>
      </c>
    </row>
    <row r="4" spans="1:16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</row>
    <row r="5" spans="1:16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16" ht="23.25">
      <c r="A6" s="102" t="s">
        <v>99</v>
      </c>
      <c r="B6" s="14"/>
      <c r="C6" s="14"/>
      <c r="D6" s="13"/>
      <c r="E6" s="13"/>
      <c r="F6" s="13"/>
      <c r="G6" s="741" t="s">
        <v>61</v>
      </c>
      <c r="H6" s="741"/>
      <c r="I6" s="741"/>
      <c r="L6" s="82" t="s">
        <v>62</v>
      </c>
    </row>
    <row r="7" spans="1:16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16" ht="23.25">
      <c r="A8" s="727" t="s">
        <v>160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16" ht="7.5" customHeight="1">
      <c r="A9" s="15"/>
      <c r="B9" s="13"/>
      <c r="C9" s="13"/>
      <c r="D9" s="13"/>
      <c r="E9" s="13"/>
      <c r="F9" s="13"/>
      <c r="G9" s="13"/>
      <c r="H9" s="13"/>
    </row>
    <row r="10" spans="1:16" ht="43.5">
      <c r="A10" s="747" t="s">
        <v>6</v>
      </c>
      <c r="B10" s="748"/>
      <c r="C10" s="748"/>
      <c r="D10" s="749"/>
      <c r="E10" s="134" t="s">
        <v>8</v>
      </c>
      <c r="F10" s="832" t="s">
        <v>933</v>
      </c>
      <c r="G10" s="833"/>
      <c r="H10" s="831" t="s">
        <v>7</v>
      </c>
      <c r="I10" s="831"/>
      <c r="J10" s="48"/>
      <c r="L10" s="16" t="s">
        <v>9</v>
      </c>
    </row>
    <row r="11" spans="1:16" ht="21.75">
      <c r="A11" s="20">
        <v>1</v>
      </c>
      <c r="B11" s="830" t="s">
        <v>22</v>
      </c>
      <c r="C11" s="736"/>
      <c r="D11" s="737"/>
      <c r="E11" s="153" t="s">
        <v>3</v>
      </c>
      <c r="F11" s="790">
        <f>+G22</f>
        <v>0</v>
      </c>
      <c r="G11" s="790"/>
      <c r="H11" s="827" t="e">
        <f>IF(G6&lt;&gt;"ประเมิน",G6,IF(F13&gt;=L11,5,ROUND(F13*5/L11,2)))</f>
        <v>#DIV/0!</v>
      </c>
      <c r="I11" s="827"/>
      <c r="L11" s="16">
        <v>50</v>
      </c>
    </row>
    <row r="12" spans="1:16" ht="21.75">
      <c r="A12" s="20">
        <v>2</v>
      </c>
      <c r="B12" s="830" t="s">
        <v>24</v>
      </c>
      <c r="C12" s="736"/>
      <c r="D12" s="737"/>
      <c r="E12" s="383" t="s">
        <v>482</v>
      </c>
      <c r="F12" s="825">
        <f>+U23</f>
        <v>0</v>
      </c>
      <c r="G12" s="825"/>
      <c r="H12" s="827"/>
      <c r="I12" s="827"/>
    </row>
    <row r="13" spans="1:16" ht="42" customHeight="1">
      <c r="A13" s="20">
        <v>3</v>
      </c>
      <c r="B13" s="830" t="s">
        <v>25</v>
      </c>
      <c r="C13" s="736"/>
      <c r="D13" s="737"/>
      <c r="E13" s="153" t="s">
        <v>5</v>
      </c>
      <c r="F13" s="826" t="e">
        <f>+IF(G6&lt;&gt;"ประเมิน",G6,ROUND(F12/F11*100,2))</f>
        <v>#DIV/0!</v>
      </c>
      <c r="G13" s="826"/>
      <c r="H13" s="827"/>
      <c r="I13" s="827"/>
    </row>
    <row r="14" spans="1:16" ht="21.75">
      <c r="B14" s="130"/>
      <c r="C14" s="130"/>
      <c r="D14" s="130"/>
      <c r="E14" s="108"/>
      <c r="F14" s="797"/>
      <c r="G14" s="797"/>
      <c r="H14" s="797"/>
      <c r="I14" s="797"/>
    </row>
    <row r="15" spans="1:16" ht="21.75">
      <c r="B15" s="40"/>
      <c r="C15" s="791"/>
      <c r="D15" s="791"/>
      <c r="E15" s="791"/>
      <c r="F15" s="746"/>
      <c r="G15" s="746"/>
      <c r="H15" s="746"/>
      <c r="I15" s="746"/>
    </row>
    <row r="16" spans="1:16" ht="21.75">
      <c r="A16" s="40"/>
      <c r="B16" s="40"/>
      <c r="C16" s="791"/>
      <c r="D16" s="791"/>
      <c r="E16" s="791"/>
      <c r="F16" s="746"/>
      <c r="G16" s="746"/>
      <c r="H16" s="746"/>
      <c r="I16" s="746"/>
    </row>
    <row r="17" spans="1:21" ht="11.25" customHeight="1">
      <c r="A17" s="40"/>
      <c r="B17" s="40"/>
      <c r="C17" s="131"/>
      <c r="D17" s="131"/>
      <c r="E17" s="131"/>
      <c r="F17" s="125"/>
      <c r="G17" s="125"/>
      <c r="H17" s="125"/>
    </row>
    <row r="18" spans="1:21" ht="23.25">
      <c r="A18" s="727" t="s">
        <v>77</v>
      </c>
      <c r="B18" s="727"/>
      <c r="C18" s="727"/>
      <c r="D18" s="727"/>
      <c r="E18" s="727"/>
      <c r="F18" s="727"/>
      <c r="G18" s="727"/>
      <c r="H18" s="13"/>
      <c r="I18" s="16"/>
    </row>
    <row r="19" spans="1:21" ht="6" customHeight="1">
      <c r="A19" s="14"/>
      <c r="B19" s="14"/>
      <c r="C19" s="13"/>
      <c r="D19" s="13"/>
      <c r="E19" s="13"/>
      <c r="F19" s="13"/>
      <c r="G19" s="13"/>
      <c r="H19" s="13"/>
      <c r="I19" s="16"/>
    </row>
    <row r="20" spans="1:21" ht="21.75">
      <c r="A20" s="745" t="s">
        <v>4</v>
      </c>
      <c r="B20" s="745"/>
      <c r="C20" s="745"/>
      <c r="D20" s="823" t="s">
        <v>2</v>
      </c>
      <c r="E20" s="759" t="s">
        <v>0</v>
      </c>
      <c r="F20" s="759"/>
      <c r="G20" s="759"/>
      <c r="H20" s="759"/>
      <c r="I20" s="821" t="s">
        <v>21</v>
      </c>
    </row>
    <row r="21" spans="1:21" ht="21.75">
      <c r="A21" s="745"/>
      <c r="B21" s="745"/>
      <c r="C21" s="745"/>
      <c r="D21" s="824"/>
      <c r="E21" s="119">
        <v>2554</v>
      </c>
      <c r="F21" s="119">
        <v>2555</v>
      </c>
      <c r="G21" s="119">
        <v>2556</v>
      </c>
      <c r="H21" s="30" t="s">
        <v>1</v>
      </c>
      <c r="I21" s="822"/>
    </row>
    <row r="22" spans="1:21" ht="21.75">
      <c r="A22" s="20">
        <v>1</v>
      </c>
      <c r="B22" s="736" t="s">
        <v>22</v>
      </c>
      <c r="C22" s="737"/>
      <c r="D22" s="28" t="s">
        <v>3</v>
      </c>
      <c r="E22" s="115"/>
      <c r="F22" s="115"/>
      <c r="G22" s="115"/>
      <c r="H22" s="235">
        <f>SUM(E22:G22)</f>
        <v>0</v>
      </c>
      <c r="I22" s="247"/>
    </row>
    <row r="23" spans="1:21" ht="24.75" customHeight="1">
      <c r="A23" s="20">
        <v>2</v>
      </c>
      <c r="B23" s="736" t="s">
        <v>23</v>
      </c>
      <c r="C23" s="737"/>
      <c r="D23" s="28" t="s">
        <v>12</v>
      </c>
      <c r="E23" s="235">
        <f>SUM(E24:E27,E33:E41)</f>
        <v>0</v>
      </c>
      <c r="F23" s="235">
        <f t="shared" ref="F23:G23" si="0">SUM(F24:F27,F33:F41)</f>
        <v>0</v>
      </c>
      <c r="G23" s="235">
        <f t="shared" si="0"/>
        <v>0</v>
      </c>
      <c r="H23" s="235">
        <f>SUM(E23:G23)</f>
        <v>0</v>
      </c>
      <c r="I23" s="246">
        <f>SUM(I24:I36)</f>
        <v>0</v>
      </c>
      <c r="U23" s="135">
        <f>SUM(U24:U36)</f>
        <v>0</v>
      </c>
    </row>
    <row r="24" spans="1:21" ht="43.5">
      <c r="A24" s="384"/>
      <c r="B24" s="21">
        <v>2.1</v>
      </c>
      <c r="C24" s="22" t="s">
        <v>13</v>
      </c>
      <c r="D24" s="28" t="s">
        <v>12</v>
      </c>
      <c r="E24" s="115"/>
      <c r="F24" s="115"/>
      <c r="G24" s="115"/>
      <c r="H24" s="235">
        <f>SUM(E24:G24)</f>
        <v>0</v>
      </c>
      <c r="I24" s="248">
        <f>+H24*0.25</f>
        <v>0</v>
      </c>
      <c r="U24" s="151">
        <f>+G24*0.25</f>
        <v>0</v>
      </c>
    </row>
    <row r="25" spans="1:21" ht="43.5">
      <c r="A25" s="384"/>
      <c r="B25" s="21">
        <v>2.2000000000000002</v>
      </c>
      <c r="C25" s="22" t="s">
        <v>15</v>
      </c>
      <c r="D25" s="28" t="s">
        <v>12</v>
      </c>
      <c r="E25" s="115"/>
      <c r="F25" s="115"/>
      <c r="G25" s="115"/>
      <c r="H25" s="235">
        <f t="shared" ref="H25:H35" si="1">SUM(E25:G25)</f>
        <v>0</v>
      </c>
      <c r="I25" s="248">
        <f>+H25*0.25</f>
        <v>0</v>
      </c>
      <c r="U25" s="151">
        <f>+G25*0.25</f>
        <v>0</v>
      </c>
    </row>
    <row r="26" spans="1:21" ht="43.5">
      <c r="A26" s="384"/>
      <c r="B26" s="21">
        <v>2.2999999999999998</v>
      </c>
      <c r="C26" s="22" t="s">
        <v>14</v>
      </c>
      <c r="D26" s="28" t="s">
        <v>12</v>
      </c>
      <c r="E26" s="115"/>
      <c r="F26" s="115"/>
      <c r="G26" s="115"/>
      <c r="H26" s="235">
        <f t="shared" si="1"/>
        <v>0</v>
      </c>
      <c r="I26" s="248">
        <f>+H26*0.25</f>
        <v>0</v>
      </c>
      <c r="U26" s="151">
        <f>+G26*0.25</f>
        <v>0</v>
      </c>
    </row>
    <row r="27" spans="1:21" ht="43.5">
      <c r="A27" s="384"/>
      <c r="B27" s="21">
        <v>2.4</v>
      </c>
      <c r="C27" s="22" t="s">
        <v>63</v>
      </c>
      <c r="D27" s="28" t="s">
        <v>12</v>
      </c>
      <c r="E27" s="115"/>
      <c r="F27" s="115"/>
      <c r="G27" s="115"/>
      <c r="H27" s="235">
        <f t="shared" si="1"/>
        <v>0</v>
      </c>
      <c r="I27" s="248">
        <f>+H27*0.5</f>
        <v>0</v>
      </c>
      <c r="U27" s="151">
        <f>+G27*0.5</f>
        <v>0</v>
      </c>
    </row>
    <row r="28" spans="1:21" ht="21.75">
      <c r="A28" s="35"/>
      <c r="B28" s="118"/>
      <c r="C28" s="118"/>
      <c r="D28" s="37"/>
      <c r="E28" s="132"/>
      <c r="F28" s="132"/>
      <c r="G28" s="132"/>
      <c r="H28" s="133"/>
      <c r="I28" s="139"/>
    </row>
    <row r="29" spans="1:21" ht="23.25">
      <c r="A29" s="727" t="s">
        <v>77</v>
      </c>
      <c r="B29" s="727"/>
      <c r="C29" s="727"/>
      <c r="D29" s="727"/>
      <c r="E29" s="727"/>
      <c r="F29" s="727"/>
      <c r="G29" s="727"/>
      <c r="H29" s="13"/>
      <c r="I29" s="16"/>
    </row>
    <row r="30" spans="1:21" ht="6" customHeight="1">
      <c r="A30" s="14"/>
      <c r="B30" s="14"/>
      <c r="C30" s="13"/>
      <c r="D30" s="13"/>
      <c r="E30" s="13"/>
      <c r="F30" s="13"/>
      <c r="G30" s="13"/>
      <c r="H30" s="13"/>
      <c r="I30" s="16"/>
    </row>
    <row r="31" spans="1:21" ht="21.75">
      <c r="A31" s="745" t="s">
        <v>4</v>
      </c>
      <c r="B31" s="745"/>
      <c r="C31" s="745"/>
      <c r="D31" s="823" t="s">
        <v>2</v>
      </c>
      <c r="E31" s="759" t="s">
        <v>0</v>
      </c>
      <c r="F31" s="759"/>
      <c r="G31" s="759"/>
      <c r="H31" s="759"/>
      <c r="I31" s="821" t="s">
        <v>21</v>
      </c>
    </row>
    <row r="32" spans="1:21" ht="21.75">
      <c r="A32" s="745"/>
      <c r="B32" s="745"/>
      <c r="C32" s="745"/>
      <c r="D32" s="824"/>
      <c r="E32" s="119">
        <v>2554</v>
      </c>
      <c r="F32" s="119">
        <v>2555</v>
      </c>
      <c r="G32" s="119">
        <v>2556</v>
      </c>
      <c r="H32" s="119" t="s">
        <v>1</v>
      </c>
      <c r="I32" s="822"/>
    </row>
    <row r="33" spans="1:21" ht="43.5">
      <c r="A33" s="384"/>
      <c r="B33" s="21">
        <v>2.5</v>
      </c>
      <c r="C33" s="22" t="s">
        <v>64</v>
      </c>
      <c r="D33" s="28" t="s">
        <v>12</v>
      </c>
      <c r="E33" s="115"/>
      <c r="F33" s="115"/>
      <c r="G33" s="115"/>
      <c r="H33" s="235">
        <f t="shared" si="1"/>
        <v>0</v>
      </c>
      <c r="I33" s="248">
        <f>+H33*0.75</f>
        <v>0</v>
      </c>
      <c r="U33" s="151">
        <f>+G33*0.75</f>
        <v>0</v>
      </c>
    </row>
    <row r="34" spans="1:21" ht="45" customHeight="1">
      <c r="A34" s="384"/>
      <c r="B34" s="21">
        <v>2.6</v>
      </c>
      <c r="C34" s="371" t="s">
        <v>483</v>
      </c>
      <c r="D34" s="28" t="s">
        <v>12</v>
      </c>
      <c r="E34" s="115"/>
      <c r="F34" s="115"/>
      <c r="G34" s="115"/>
      <c r="H34" s="235">
        <f t="shared" si="1"/>
        <v>0</v>
      </c>
      <c r="I34" s="248">
        <f>+H34*1</f>
        <v>0</v>
      </c>
      <c r="U34" s="151">
        <f>+G34*1</f>
        <v>0</v>
      </c>
    </row>
    <row r="35" spans="1:21" ht="43.5">
      <c r="A35" s="384"/>
      <c r="B35" s="21">
        <v>2.7</v>
      </c>
      <c r="C35" s="371" t="s">
        <v>484</v>
      </c>
      <c r="D35" s="28" t="s">
        <v>12</v>
      </c>
      <c r="E35" s="115"/>
      <c r="F35" s="115"/>
      <c r="G35" s="115"/>
      <c r="H35" s="235">
        <f t="shared" si="1"/>
        <v>0</v>
      </c>
      <c r="I35" s="248">
        <f>+H35*1</f>
        <v>0</v>
      </c>
      <c r="U35" s="151">
        <f>+G35*1</f>
        <v>0</v>
      </c>
    </row>
    <row r="36" spans="1:21" ht="43.5">
      <c r="A36" s="385"/>
      <c r="B36" s="75">
        <v>2.8</v>
      </c>
      <c r="C36" s="72" t="s">
        <v>485</v>
      </c>
      <c r="D36" s="74" t="s">
        <v>12</v>
      </c>
      <c r="E36" s="116"/>
      <c r="F36" s="116"/>
      <c r="G36" s="116"/>
      <c r="H36" s="235">
        <f>SUM(E36:G36)</f>
        <v>0</v>
      </c>
      <c r="I36" s="248">
        <f>+H36*1</f>
        <v>0</v>
      </c>
      <c r="U36" s="151">
        <f>+G36*1</f>
        <v>0</v>
      </c>
    </row>
    <row r="37" spans="1:21" ht="21.75">
      <c r="A37" s="386"/>
      <c r="B37" s="104">
        <v>2.9</v>
      </c>
      <c r="C37" s="105" t="s">
        <v>16</v>
      </c>
      <c r="D37" s="28" t="s">
        <v>12</v>
      </c>
      <c r="E37" s="115"/>
      <c r="F37" s="115"/>
      <c r="G37" s="115"/>
      <c r="H37" s="235">
        <f t="shared" ref="H37:H41" si="2">SUM(E37:G37)</f>
        <v>0</v>
      </c>
      <c r="I37" s="248">
        <f>+H37*0.125</f>
        <v>0</v>
      </c>
      <c r="U37" s="151">
        <f>+G37*0.125</f>
        <v>0</v>
      </c>
    </row>
    <row r="38" spans="1:21" ht="21.75">
      <c r="A38" s="386"/>
      <c r="B38" s="49">
        <v>2.1</v>
      </c>
      <c r="C38" s="105" t="s">
        <v>17</v>
      </c>
      <c r="D38" s="28" t="s">
        <v>12</v>
      </c>
      <c r="E38" s="115"/>
      <c r="F38" s="115"/>
      <c r="G38" s="115"/>
      <c r="H38" s="235">
        <f t="shared" si="2"/>
        <v>0</v>
      </c>
      <c r="I38" s="248">
        <f>+H38*0.25</f>
        <v>0</v>
      </c>
      <c r="U38" s="151">
        <f>+G38*0.25</f>
        <v>0</v>
      </c>
    </row>
    <row r="39" spans="1:21" ht="43.5">
      <c r="A39" s="386"/>
      <c r="B39" s="49">
        <v>2.11</v>
      </c>
      <c r="C39" s="105" t="s">
        <v>18</v>
      </c>
      <c r="D39" s="28" t="s">
        <v>12</v>
      </c>
      <c r="E39" s="115"/>
      <c r="F39" s="115"/>
      <c r="G39" s="115"/>
      <c r="H39" s="235">
        <f t="shared" si="2"/>
        <v>0</v>
      </c>
      <c r="I39" s="248">
        <f>+H39*0.5</f>
        <v>0</v>
      </c>
      <c r="U39" s="151">
        <f>+G39*0.5</f>
        <v>0</v>
      </c>
    </row>
    <row r="40" spans="1:21" ht="21.75">
      <c r="A40" s="386"/>
      <c r="B40" s="49">
        <v>2.12</v>
      </c>
      <c r="C40" s="105" t="s">
        <v>19</v>
      </c>
      <c r="D40" s="28" t="s">
        <v>12</v>
      </c>
      <c r="E40" s="115"/>
      <c r="F40" s="115"/>
      <c r="G40" s="115"/>
      <c r="H40" s="235">
        <f t="shared" si="2"/>
        <v>0</v>
      </c>
      <c r="I40" s="248">
        <f>+H40*0.75</f>
        <v>0</v>
      </c>
      <c r="U40" s="151">
        <f>+G40*0.75</f>
        <v>0</v>
      </c>
    </row>
    <row r="41" spans="1:21" ht="21.75">
      <c r="A41" s="9"/>
      <c r="B41" s="49">
        <v>2.13</v>
      </c>
      <c r="C41" s="105" t="s">
        <v>20</v>
      </c>
      <c r="D41" s="28" t="s">
        <v>12</v>
      </c>
      <c r="E41" s="115"/>
      <c r="F41" s="115"/>
      <c r="G41" s="115"/>
      <c r="H41" s="235">
        <f t="shared" si="2"/>
        <v>0</v>
      </c>
      <c r="I41" s="248">
        <f>+H41*1</f>
        <v>0</v>
      </c>
      <c r="U41" s="151">
        <f>+G41*1</f>
        <v>0</v>
      </c>
    </row>
    <row r="42" spans="1:21">
      <c r="B42" s="73"/>
      <c r="C42" s="73"/>
    </row>
    <row r="43" spans="1:21" ht="21.75">
      <c r="A43" s="1" t="s">
        <v>10</v>
      </c>
    </row>
    <row r="44" spans="1:21" ht="21.75">
      <c r="B44" s="1">
        <v>1</v>
      </c>
      <c r="C44" s="1" t="s">
        <v>34</v>
      </c>
    </row>
    <row r="45" spans="1:21" ht="21.75">
      <c r="B45" s="1">
        <v>2</v>
      </c>
      <c r="C45" s="1" t="s">
        <v>974</v>
      </c>
    </row>
    <row r="46" spans="1:21" ht="21.75">
      <c r="A46" s="740" t="s">
        <v>951</v>
      </c>
      <c r="B46" s="740"/>
      <c r="C46" s="740"/>
      <c r="D46" s="37"/>
      <c r="E46" s="38"/>
      <c r="F46" s="38"/>
      <c r="G46" s="38"/>
      <c r="H46" s="39"/>
    </row>
    <row r="47" spans="1:21" ht="18" customHeight="1">
      <c r="A47" s="40"/>
      <c r="B47" s="42"/>
      <c r="C47" s="755">
        <v>1</v>
      </c>
      <c r="D47" s="755"/>
      <c r="E47" s="755"/>
      <c r="F47" s="755"/>
      <c r="G47" s="755"/>
      <c r="H47" s="755"/>
    </row>
    <row r="48" spans="1:21" ht="21.75">
      <c r="A48" s="35"/>
      <c r="B48" s="41"/>
      <c r="C48" s="755">
        <v>2</v>
      </c>
      <c r="D48" s="755"/>
      <c r="E48" s="755"/>
      <c r="F48" s="755"/>
      <c r="G48" s="755"/>
      <c r="H48" s="755"/>
    </row>
    <row r="49" spans="1:8" ht="21.75">
      <c r="A49" s="35"/>
      <c r="B49" s="41"/>
      <c r="C49" s="755">
        <v>3</v>
      </c>
      <c r="D49" s="755"/>
      <c r="E49" s="755"/>
      <c r="F49" s="755"/>
      <c r="G49" s="755"/>
      <c r="H49" s="755"/>
    </row>
  </sheetData>
  <mergeCells count="37">
    <mergeCell ref="A46:C46"/>
    <mergeCell ref="C47:H47"/>
    <mergeCell ref="C48:H48"/>
    <mergeCell ref="C49:H49"/>
    <mergeCell ref="A8:G8"/>
    <mergeCell ref="A18:G18"/>
    <mergeCell ref="C15:E15"/>
    <mergeCell ref="C16:E16"/>
    <mergeCell ref="B22:C22"/>
    <mergeCell ref="B23:C23"/>
    <mergeCell ref="B13:D13"/>
    <mergeCell ref="F13:G13"/>
    <mergeCell ref="A20:C21"/>
    <mergeCell ref="D20:D21"/>
    <mergeCell ref="E20:H20"/>
    <mergeCell ref="H11:I13"/>
    <mergeCell ref="A1:H1"/>
    <mergeCell ref="A2:H2"/>
    <mergeCell ref="A3:H3"/>
    <mergeCell ref="A4:H4"/>
    <mergeCell ref="H10:I10"/>
    <mergeCell ref="G6:I6"/>
    <mergeCell ref="A10:D10"/>
    <mergeCell ref="F10:G10"/>
    <mergeCell ref="F14:I14"/>
    <mergeCell ref="F15:I15"/>
    <mergeCell ref="F16:I16"/>
    <mergeCell ref="I20:I21"/>
    <mergeCell ref="B11:D11"/>
    <mergeCell ref="F11:G11"/>
    <mergeCell ref="B12:D12"/>
    <mergeCell ref="F12:G12"/>
    <mergeCell ref="A29:G29"/>
    <mergeCell ref="A31:C32"/>
    <mergeCell ref="D31:D32"/>
    <mergeCell ref="E31:H31"/>
    <mergeCell ref="I31:I32"/>
  </mergeCells>
  <dataValidations count="3">
    <dataValidation type="list" errorStyle="information" allowBlank="1" showInputMessage="1" showErrorMessage="1" prompt="กรุณาเลือก" sqref="G6">
      <formula1>$L$5:$L$8</formula1>
    </dataValidation>
    <dataValidation allowBlank="1" showInputMessage="1" showErrorMessage="1" prompt="กรุณาใส่คะแนนตามที่หน่วยงานรายงาน_x000a_" sqref="F16:F17"/>
    <dataValidation allowBlank="1" showInputMessage="1" showErrorMessage="1" prompt="กรุณาใส่ผลการดำเนินงานตามรายงานของหน่วยงาน" sqref="F15"/>
  </dataValidations>
  <pageMargins left="0.5" right="0.4" top="1" bottom="1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V48"/>
  <sheetViews>
    <sheetView view="pageBreakPreview" topLeftCell="A31" zoomScaleNormal="100" zoomScaleSheetLayoutView="100" workbookViewId="0">
      <selection activeCell="A2" sqref="A2:I3"/>
    </sheetView>
  </sheetViews>
  <sheetFormatPr defaultRowHeight="12.75"/>
  <cols>
    <col min="1" max="1" width="3.140625" customWidth="1"/>
    <col min="2" max="2" width="4.28515625" customWidth="1"/>
    <col min="3" max="3" width="41" customWidth="1"/>
    <col min="4" max="4" width="8.140625" bestFit="1" customWidth="1"/>
    <col min="5" max="5" width="7.7109375" bestFit="1" customWidth="1"/>
    <col min="6" max="7" width="6.42578125" customWidth="1"/>
    <col min="8" max="8" width="7.7109375" bestFit="1" customWidth="1"/>
    <col min="9" max="9" width="8.28515625" customWidth="1"/>
    <col min="10" max="15" width="0" hidden="1" customWidth="1"/>
    <col min="16" max="16" width="9.140625" hidden="1" customWidth="1"/>
    <col min="17" max="18" width="0" hidden="1" customWidth="1"/>
    <col min="19" max="19" width="17.85546875" customWidth="1"/>
    <col min="20" max="20" width="0" hidden="1" customWidth="1"/>
  </cols>
  <sheetData>
    <row r="1" spans="1:22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2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2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2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2" ht="10.5" customHeight="1">
      <c r="A5" s="13"/>
      <c r="B5" s="14"/>
      <c r="C5" s="14"/>
      <c r="D5" s="13"/>
      <c r="E5" s="13"/>
      <c r="F5" s="13"/>
      <c r="G5" s="13"/>
      <c r="H5" s="13"/>
      <c r="L5" s="82" t="s">
        <v>61</v>
      </c>
    </row>
    <row r="6" spans="1:22" ht="23.25">
      <c r="A6" s="102" t="s">
        <v>49</v>
      </c>
      <c r="B6" s="14"/>
      <c r="C6" s="14"/>
      <c r="D6" s="13"/>
      <c r="E6" s="13"/>
      <c r="F6" s="13"/>
      <c r="G6" s="741" t="s">
        <v>61</v>
      </c>
      <c r="H6" s="741"/>
      <c r="I6" s="741"/>
      <c r="L6" s="82" t="s">
        <v>62</v>
      </c>
    </row>
    <row r="7" spans="1:22" ht="23.25">
      <c r="A7" s="16"/>
      <c r="B7" s="16"/>
      <c r="C7" s="16"/>
      <c r="D7" s="16"/>
      <c r="E7" s="16"/>
      <c r="F7" s="16"/>
      <c r="G7" s="16"/>
      <c r="H7" s="16"/>
      <c r="L7" s="82" t="s">
        <v>73</v>
      </c>
    </row>
    <row r="8" spans="1:22" ht="23.25">
      <c r="A8" s="727" t="s">
        <v>160</v>
      </c>
      <c r="B8" s="727"/>
      <c r="C8" s="727"/>
      <c r="D8" s="727"/>
      <c r="E8" s="727"/>
      <c r="F8" s="727"/>
      <c r="G8" s="727"/>
      <c r="H8" s="17"/>
      <c r="L8" s="82" t="s">
        <v>74</v>
      </c>
    </row>
    <row r="9" spans="1:22" ht="6" customHeight="1">
      <c r="A9" s="15"/>
      <c r="B9" s="13"/>
      <c r="C9" s="13"/>
      <c r="D9" s="13"/>
      <c r="E9" s="13"/>
      <c r="F9" s="13"/>
      <c r="G9" s="13"/>
      <c r="H9" s="13"/>
    </row>
    <row r="10" spans="1:22" ht="64.5" customHeight="1">
      <c r="A10" s="834" t="s">
        <v>6</v>
      </c>
      <c r="B10" s="835"/>
      <c r="C10" s="835"/>
      <c r="D10" s="836"/>
      <c r="E10" s="127" t="s">
        <v>8</v>
      </c>
      <c r="F10" s="837" t="s">
        <v>929</v>
      </c>
      <c r="G10" s="838"/>
      <c r="H10" s="841" t="s">
        <v>7</v>
      </c>
      <c r="I10" s="841"/>
      <c r="L10" s="16" t="s">
        <v>9</v>
      </c>
      <c r="S10" s="842" t="s">
        <v>605</v>
      </c>
      <c r="T10" s="842"/>
      <c r="U10" s="841" t="s">
        <v>7</v>
      </c>
      <c r="V10" s="841"/>
    </row>
    <row r="11" spans="1:22" ht="21.75">
      <c r="A11" s="128">
        <v>1</v>
      </c>
      <c r="B11" s="839" t="s">
        <v>50</v>
      </c>
      <c r="C11" s="839"/>
      <c r="D11" s="840"/>
      <c r="E11" s="129" t="s">
        <v>3</v>
      </c>
      <c r="F11" s="807">
        <f>G22</f>
        <v>0</v>
      </c>
      <c r="G11" s="807"/>
      <c r="H11" s="827" t="e">
        <f>IF(G6&lt;&gt;"ประเมิน",G6,IF(F13&gt;=L11,5,ROUND(F13*5/L11,2)))</f>
        <v>#DIV/0!</v>
      </c>
      <c r="I11" s="827"/>
      <c r="L11" s="16">
        <v>6</v>
      </c>
      <c r="S11" s="807">
        <f>H22</f>
        <v>0</v>
      </c>
      <c r="T11" s="807"/>
      <c r="U11" s="827" t="e">
        <f>IF(G6&lt;&gt;"ประเมิน",G6,IF(S13&gt;=L11,5,ROUND(S13*5/L11,2)))</f>
        <v>#DIV/0!</v>
      </c>
      <c r="V11" s="827"/>
    </row>
    <row r="12" spans="1:22" ht="21.75">
      <c r="A12" s="128">
        <v>2</v>
      </c>
      <c r="B12" s="839" t="s">
        <v>51</v>
      </c>
      <c r="C12" s="839"/>
      <c r="D12" s="840"/>
      <c r="E12" s="387" t="s">
        <v>482</v>
      </c>
      <c r="F12" s="807">
        <f>SUM(T24:T43)</f>
        <v>0</v>
      </c>
      <c r="G12" s="807"/>
      <c r="H12" s="827"/>
      <c r="I12" s="827"/>
      <c r="S12" s="807">
        <f>SUM(I24:I43)</f>
        <v>0</v>
      </c>
      <c r="T12" s="807"/>
      <c r="U12" s="827"/>
      <c r="V12" s="827"/>
    </row>
    <row r="13" spans="1:22" ht="21.75">
      <c r="A13" s="128">
        <v>3</v>
      </c>
      <c r="B13" s="839" t="s">
        <v>52</v>
      </c>
      <c r="C13" s="839"/>
      <c r="D13" s="840"/>
      <c r="E13" s="129" t="s">
        <v>486</v>
      </c>
      <c r="F13" s="826" t="e">
        <f>+IF(G6&lt;&gt;"ประเมิน",G6,ROUND(F12/F11,2))</f>
        <v>#DIV/0!</v>
      </c>
      <c r="G13" s="826"/>
      <c r="H13" s="827"/>
      <c r="I13" s="827"/>
      <c r="S13" s="826" t="e">
        <f>+IF(G6&lt;&gt;"ประเมิน",G6,ROUND(S12/S11,2))</f>
        <v>#DIV/0!</v>
      </c>
      <c r="T13" s="826"/>
      <c r="U13" s="827"/>
      <c r="V13" s="827"/>
    </row>
    <row r="14" spans="1:22" ht="21.75">
      <c r="B14" s="130"/>
      <c r="C14" s="130"/>
      <c r="D14" s="130"/>
      <c r="E14" s="108"/>
      <c r="F14" s="797"/>
      <c r="G14" s="797"/>
      <c r="H14" s="797"/>
      <c r="I14" s="797"/>
    </row>
    <row r="15" spans="1:22" ht="21.75">
      <c r="B15" s="40"/>
      <c r="C15" s="791"/>
      <c r="D15" s="791"/>
      <c r="E15" s="791"/>
      <c r="F15" s="746"/>
      <c r="G15" s="746"/>
      <c r="H15" s="746"/>
      <c r="I15" s="746"/>
    </row>
    <row r="16" spans="1:22" ht="21.75">
      <c r="A16" s="40"/>
      <c r="B16" s="40"/>
      <c r="C16" s="791"/>
      <c r="D16" s="791"/>
      <c r="E16" s="791"/>
      <c r="F16" s="746"/>
      <c r="G16" s="746"/>
      <c r="H16" s="746"/>
      <c r="I16" s="746"/>
    </row>
    <row r="17" spans="1:20" ht="21.75">
      <c r="A17" s="15"/>
      <c r="B17" s="13"/>
      <c r="C17" s="13"/>
      <c r="D17" s="13"/>
      <c r="E17" s="13"/>
      <c r="F17" s="13"/>
      <c r="G17" s="13"/>
      <c r="H17" s="13"/>
    </row>
    <row r="18" spans="1:20" ht="23.25">
      <c r="A18" s="727" t="s">
        <v>77</v>
      </c>
      <c r="B18" s="727"/>
      <c r="C18" s="727"/>
      <c r="D18" s="727"/>
      <c r="E18" s="727"/>
      <c r="F18" s="727"/>
      <c r="G18" s="727"/>
      <c r="H18" s="13"/>
    </row>
    <row r="19" spans="1:20" ht="9" customHeight="1">
      <c r="A19" s="13"/>
      <c r="B19" s="13"/>
      <c r="C19" s="13"/>
      <c r="D19" s="13"/>
      <c r="E19" s="13"/>
      <c r="F19" s="13"/>
      <c r="G19" s="13"/>
      <c r="H19" s="13"/>
    </row>
    <row r="20" spans="1:20" ht="21.75">
      <c r="A20" s="745" t="s">
        <v>4</v>
      </c>
      <c r="B20" s="745"/>
      <c r="C20" s="745"/>
      <c r="D20" s="745" t="s">
        <v>2</v>
      </c>
      <c r="E20" s="759" t="s">
        <v>0</v>
      </c>
      <c r="F20" s="759"/>
      <c r="G20" s="759"/>
      <c r="H20" s="759"/>
      <c r="I20" s="831" t="s">
        <v>21</v>
      </c>
      <c r="J20" s="16"/>
    </row>
    <row r="21" spans="1:20" ht="21.75">
      <c r="A21" s="745"/>
      <c r="B21" s="745"/>
      <c r="C21" s="745"/>
      <c r="D21" s="745"/>
      <c r="E21" s="30">
        <v>2554</v>
      </c>
      <c r="F21" s="30">
        <v>2555</v>
      </c>
      <c r="G21" s="30">
        <v>2556</v>
      </c>
      <c r="H21" s="30" t="s">
        <v>1</v>
      </c>
      <c r="I21" s="831"/>
      <c r="J21" s="16"/>
    </row>
    <row r="22" spans="1:20" ht="23.25">
      <c r="A22" s="20">
        <v>1</v>
      </c>
      <c r="B22" s="736" t="s">
        <v>50</v>
      </c>
      <c r="C22" s="737"/>
      <c r="D22" s="28" t="s">
        <v>3</v>
      </c>
      <c r="E22" s="237">
        <f>+E23+E27+E36+E40</f>
        <v>0</v>
      </c>
      <c r="F22" s="237">
        <f>+F23+F27+F36+F40</f>
        <v>0</v>
      </c>
      <c r="G22" s="237">
        <f>+G23+G27+G36+G40</f>
        <v>0</v>
      </c>
      <c r="H22" s="237">
        <f t="shared" ref="H22:H43" si="0">SUM(E22:G22)</f>
        <v>0</v>
      </c>
      <c r="I22" s="47"/>
      <c r="J22" s="16"/>
    </row>
    <row r="23" spans="1:20" ht="23.25">
      <c r="A23" s="57">
        <v>2</v>
      </c>
      <c r="B23" s="782" t="s">
        <v>53</v>
      </c>
      <c r="C23" s="783"/>
      <c r="D23" s="58" t="s">
        <v>3</v>
      </c>
      <c r="E23" s="244">
        <f>+E24+E25+E26</f>
        <v>0</v>
      </c>
      <c r="F23" s="244">
        <f>+F24+F25+F26</f>
        <v>0</v>
      </c>
      <c r="G23" s="244">
        <f>+G24+G25+G26</f>
        <v>0</v>
      </c>
      <c r="H23" s="244">
        <f t="shared" si="0"/>
        <v>0</v>
      </c>
      <c r="I23" s="47"/>
      <c r="J23" s="50"/>
    </row>
    <row r="24" spans="1:20" ht="23.25">
      <c r="A24" s="56"/>
      <c r="B24" s="21">
        <v>2.1</v>
      </c>
      <c r="C24" s="22" t="s">
        <v>54</v>
      </c>
      <c r="D24" s="28" t="s">
        <v>3</v>
      </c>
      <c r="E24" s="237">
        <f>'2.3'!E32</f>
        <v>0</v>
      </c>
      <c r="F24" s="237">
        <f>'2.3'!F32</f>
        <v>0</v>
      </c>
      <c r="G24" s="237">
        <f>'2.3'!G32</f>
        <v>0</v>
      </c>
      <c r="H24" s="237">
        <f t="shared" si="0"/>
        <v>0</v>
      </c>
      <c r="I24" s="249">
        <f>+H24*P24</f>
        <v>0</v>
      </c>
      <c r="J24" s="16"/>
      <c r="P24" s="16">
        <v>0</v>
      </c>
      <c r="T24" s="112">
        <f>+G24*P24</f>
        <v>0</v>
      </c>
    </row>
    <row r="25" spans="1:20" ht="23.25">
      <c r="A25" s="56"/>
      <c r="B25" s="21">
        <v>2.2000000000000002</v>
      </c>
      <c r="C25" s="22" t="s">
        <v>56</v>
      </c>
      <c r="D25" s="28" t="s">
        <v>3</v>
      </c>
      <c r="E25" s="237">
        <f>'2.3'!E33</f>
        <v>0</v>
      </c>
      <c r="F25" s="237">
        <f>'2.3'!F33</f>
        <v>0</v>
      </c>
      <c r="G25" s="237">
        <f>'2.3'!G33</f>
        <v>0</v>
      </c>
      <c r="H25" s="237">
        <f t="shared" si="0"/>
        <v>0</v>
      </c>
      <c r="I25" s="249">
        <f t="shared" ref="I25:I43" si="1">+H25*P25</f>
        <v>0</v>
      </c>
      <c r="J25" s="16"/>
      <c r="P25" s="16">
        <v>2</v>
      </c>
      <c r="T25" s="112">
        <f t="shared" ref="T25:T30" si="2">+G25*P25</f>
        <v>0</v>
      </c>
    </row>
    <row r="26" spans="1:20" ht="23.25">
      <c r="A26" s="55"/>
      <c r="B26" s="21">
        <v>2.2999999999999998</v>
      </c>
      <c r="C26" s="22" t="s">
        <v>55</v>
      </c>
      <c r="D26" s="28" t="s">
        <v>3</v>
      </c>
      <c r="E26" s="237">
        <f>'2.3'!E34</f>
        <v>0</v>
      </c>
      <c r="F26" s="237">
        <f>'2.3'!F34</f>
        <v>0</v>
      </c>
      <c r="G26" s="237">
        <f>'2.3'!G34</f>
        <v>0</v>
      </c>
      <c r="H26" s="237">
        <f t="shared" si="0"/>
        <v>0</v>
      </c>
      <c r="I26" s="249">
        <f t="shared" si="1"/>
        <v>0</v>
      </c>
      <c r="J26" s="16"/>
      <c r="P26" s="16">
        <v>5</v>
      </c>
      <c r="T26" s="112">
        <f t="shared" si="2"/>
        <v>0</v>
      </c>
    </row>
    <row r="27" spans="1:20" ht="23.25">
      <c r="A27" s="57">
        <v>3</v>
      </c>
      <c r="B27" s="782" t="s">
        <v>57</v>
      </c>
      <c r="C27" s="783"/>
      <c r="D27" s="58" t="s">
        <v>3</v>
      </c>
      <c r="E27" s="244">
        <f>+E28+E29+E30</f>
        <v>0</v>
      </c>
      <c r="F27" s="244">
        <f>+F28+F29+F30</f>
        <v>0</v>
      </c>
      <c r="G27" s="244">
        <f>+G28+G29+G30</f>
        <v>0</v>
      </c>
      <c r="H27" s="244">
        <f t="shared" si="0"/>
        <v>0</v>
      </c>
      <c r="I27" s="166"/>
      <c r="J27" s="16"/>
      <c r="P27" s="16"/>
      <c r="T27" s="112"/>
    </row>
    <row r="28" spans="1:20" ht="23.25">
      <c r="A28" s="56"/>
      <c r="B28" s="25">
        <v>3.1</v>
      </c>
      <c r="C28" s="26" t="s">
        <v>54</v>
      </c>
      <c r="D28" s="28" t="s">
        <v>3</v>
      </c>
      <c r="E28" s="237">
        <f>'2.3'!E36</f>
        <v>0</v>
      </c>
      <c r="F28" s="237">
        <f>'2.3'!F36</f>
        <v>0</v>
      </c>
      <c r="G28" s="237">
        <f>'2.3'!G36</f>
        <v>0</v>
      </c>
      <c r="H28" s="237">
        <f t="shared" si="0"/>
        <v>0</v>
      </c>
      <c r="I28" s="249">
        <f t="shared" si="1"/>
        <v>0</v>
      </c>
      <c r="J28" s="16"/>
      <c r="P28" s="16">
        <v>1</v>
      </c>
      <c r="T28" s="112">
        <f t="shared" si="2"/>
        <v>0</v>
      </c>
    </row>
    <row r="29" spans="1:20" ht="23.25">
      <c r="A29" s="56"/>
      <c r="B29" s="25">
        <v>3.2</v>
      </c>
      <c r="C29" s="26" t="s">
        <v>58</v>
      </c>
      <c r="D29" s="28" t="s">
        <v>3</v>
      </c>
      <c r="E29" s="237">
        <f>'2.3'!E37</f>
        <v>0</v>
      </c>
      <c r="F29" s="237">
        <f>'2.3'!F37</f>
        <v>0</v>
      </c>
      <c r="G29" s="237">
        <f>'2.3'!G37</f>
        <v>0</v>
      </c>
      <c r="H29" s="237">
        <f t="shared" si="0"/>
        <v>0</v>
      </c>
      <c r="I29" s="249">
        <f t="shared" si="1"/>
        <v>0</v>
      </c>
      <c r="J29" s="16"/>
      <c r="P29" s="16">
        <v>3</v>
      </c>
      <c r="T29" s="112">
        <f t="shared" si="2"/>
        <v>0</v>
      </c>
    </row>
    <row r="30" spans="1:20" ht="23.25">
      <c r="A30" s="55"/>
      <c r="B30" s="27">
        <v>3.3</v>
      </c>
      <c r="C30" s="26" t="s">
        <v>55</v>
      </c>
      <c r="D30" s="28" t="s">
        <v>3</v>
      </c>
      <c r="E30" s="237">
        <f>'2.3'!E38</f>
        <v>0</v>
      </c>
      <c r="F30" s="237">
        <f>'2.3'!F38</f>
        <v>0</v>
      </c>
      <c r="G30" s="237">
        <f>'2.3'!G38</f>
        <v>0</v>
      </c>
      <c r="H30" s="237">
        <f t="shared" si="0"/>
        <v>0</v>
      </c>
      <c r="I30" s="249">
        <f t="shared" si="1"/>
        <v>0</v>
      </c>
      <c r="J30" s="16"/>
      <c r="P30" s="16">
        <v>6</v>
      </c>
      <c r="T30" s="112">
        <f t="shared" si="2"/>
        <v>0</v>
      </c>
    </row>
    <row r="31" spans="1:20" ht="21.75">
      <c r="A31" s="15"/>
      <c r="B31" s="13"/>
      <c r="C31" s="13"/>
      <c r="D31" s="13"/>
      <c r="E31" s="13"/>
      <c r="F31" s="13"/>
      <c r="G31" s="13"/>
      <c r="H31" s="13"/>
    </row>
    <row r="32" spans="1:20" ht="23.25">
      <c r="A32" s="727" t="s">
        <v>77</v>
      </c>
      <c r="B32" s="727"/>
      <c r="C32" s="727"/>
      <c r="D32" s="727"/>
      <c r="E32" s="727"/>
      <c r="F32" s="727"/>
      <c r="G32" s="727"/>
      <c r="H32" s="13"/>
    </row>
    <row r="33" spans="1:20" ht="9" customHeight="1">
      <c r="A33" s="13"/>
      <c r="B33" s="13"/>
      <c r="C33" s="13"/>
      <c r="D33" s="13"/>
      <c r="E33" s="13"/>
      <c r="F33" s="13"/>
      <c r="G33" s="13"/>
      <c r="H33" s="13"/>
    </row>
    <row r="34" spans="1:20" ht="21.75">
      <c r="A34" s="745" t="s">
        <v>4</v>
      </c>
      <c r="B34" s="745"/>
      <c r="C34" s="745"/>
      <c r="D34" s="745" t="s">
        <v>2</v>
      </c>
      <c r="E34" s="759" t="s">
        <v>0</v>
      </c>
      <c r="F34" s="759"/>
      <c r="G34" s="759"/>
      <c r="H34" s="759"/>
      <c r="I34" s="831" t="s">
        <v>21</v>
      </c>
      <c r="J34" s="16"/>
    </row>
    <row r="35" spans="1:20" ht="21.75">
      <c r="A35" s="745"/>
      <c r="B35" s="745"/>
      <c r="C35" s="745"/>
      <c r="D35" s="745"/>
      <c r="E35" s="119">
        <v>2554</v>
      </c>
      <c r="F35" s="119">
        <v>2555</v>
      </c>
      <c r="G35" s="119">
        <v>2556</v>
      </c>
      <c r="H35" s="119" t="s">
        <v>1</v>
      </c>
      <c r="I35" s="831"/>
      <c r="J35" s="16"/>
    </row>
    <row r="36" spans="1:20" ht="23.25">
      <c r="A36" s="59">
        <v>4</v>
      </c>
      <c r="B36" s="60" t="s">
        <v>59</v>
      </c>
      <c r="C36" s="61"/>
      <c r="D36" s="58" t="s">
        <v>3</v>
      </c>
      <c r="E36" s="244">
        <f>+E37+E38+E39</f>
        <v>0</v>
      </c>
      <c r="F36" s="244">
        <f>+F37+F38+F39</f>
        <v>0</v>
      </c>
      <c r="G36" s="244">
        <f>+G37+G38+G39</f>
        <v>0</v>
      </c>
      <c r="H36" s="244">
        <f t="shared" si="0"/>
        <v>0</v>
      </c>
      <c r="I36" s="249"/>
      <c r="J36" s="16"/>
      <c r="P36" s="16"/>
      <c r="T36" s="112"/>
    </row>
    <row r="37" spans="1:20" ht="23.25">
      <c r="A37" s="56"/>
      <c r="B37" s="25">
        <v>4.0999999999999996</v>
      </c>
      <c r="C37" s="26" t="s">
        <v>54</v>
      </c>
      <c r="D37" s="28" t="s">
        <v>3</v>
      </c>
      <c r="E37" s="237">
        <f>'2.3'!E40</f>
        <v>0</v>
      </c>
      <c r="F37" s="237">
        <f>'2.3'!F40</f>
        <v>0</v>
      </c>
      <c r="G37" s="237">
        <f>'2.3'!G40</f>
        <v>0</v>
      </c>
      <c r="H37" s="237">
        <f t="shared" si="0"/>
        <v>0</v>
      </c>
      <c r="I37" s="249">
        <f t="shared" si="1"/>
        <v>0</v>
      </c>
      <c r="J37" s="16"/>
      <c r="P37" s="16">
        <v>3</v>
      </c>
      <c r="T37" s="112">
        <f>+G37*P37</f>
        <v>0</v>
      </c>
    </row>
    <row r="38" spans="1:20" ht="23.25">
      <c r="A38" s="56"/>
      <c r="B38" s="25">
        <v>4.2</v>
      </c>
      <c r="C38" s="26" t="s">
        <v>58</v>
      </c>
      <c r="D38" s="28" t="s">
        <v>3</v>
      </c>
      <c r="E38" s="237">
        <f>'2.3'!E41</f>
        <v>0</v>
      </c>
      <c r="F38" s="237">
        <f>'2.3'!F41</f>
        <v>0</v>
      </c>
      <c r="G38" s="237">
        <f>'2.3'!G41</f>
        <v>0</v>
      </c>
      <c r="H38" s="237">
        <f t="shared" si="0"/>
        <v>0</v>
      </c>
      <c r="I38" s="249">
        <f t="shared" si="1"/>
        <v>0</v>
      </c>
      <c r="J38" s="16"/>
      <c r="P38" s="16">
        <v>5</v>
      </c>
      <c r="T38" s="112">
        <f t="shared" ref="T38:T43" si="3">+G38*P38</f>
        <v>0</v>
      </c>
    </row>
    <row r="39" spans="1:20" ht="23.25">
      <c r="A39" s="55"/>
      <c r="B39" s="27">
        <v>4.3</v>
      </c>
      <c r="C39" s="26" t="s">
        <v>55</v>
      </c>
      <c r="D39" s="28" t="s">
        <v>3</v>
      </c>
      <c r="E39" s="237">
        <f>'2.3'!E42</f>
        <v>0</v>
      </c>
      <c r="F39" s="237">
        <f>'2.3'!F42</f>
        <v>0</v>
      </c>
      <c r="G39" s="237">
        <f>'2.3'!G42</f>
        <v>0</v>
      </c>
      <c r="H39" s="237">
        <f t="shared" si="0"/>
        <v>0</v>
      </c>
      <c r="I39" s="249">
        <f t="shared" si="1"/>
        <v>0</v>
      </c>
      <c r="J39" s="16"/>
      <c r="P39" s="16">
        <v>8</v>
      </c>
      <c r="T39" s="112">
        <f t="shared" si="3"/>
        <v>0</v>
      </c>
    </row>
    <row r="40" spans="1:20" ht="23.25">
      <c r="A40" s="59">
        <v>5</v>
      </c>
      <c r="B40" s="60" t="s">
        <v>65</v>
      </c>
      <c r="C40" s="61"/>
      <c r="D40" s="58" t="s">
        <v>3</v>
      </c>
      <c r="E40" s="244">
        <f>+E41+E42+E43</f>
        <v>0</v>
      </c>
      <c r="F40" s="244">
        <f>+F41+F42+F43</f>
        <v>0</v>
      </c>
      <c r="G40" s="244">
        <f>+G41+G42+G43</f>
        <v>0</v>
      </c>
      <c r="H40" s="244">
        <f t="shared" si="0"/>
        <v>0</v>
      </c>
      <c r="I40" s="249"/>
      <c r="J40" s="16"/>
      <c r="P40" s="16"/>
      <c r="T40" s="112"/>
    </row>
    <row r="41" spans="1:20" ht="23.25">
      <c r="A41" s="56"/>
      <c r="B41" s="25">
        <v>5.0999999999999996</v>
      </c>
      <c r="C41" s="26" t="s">
        <v>54</v>
      </c>
      <c r="D41" s="28" t="s">
        <v>3</v>
      </c>
      <c r="E41" s="237">
        <f>'2.3'!E44</f>
        <v>0</v>
      </c>
      <c r="F41" s="237">
        <f>'2.3'!F44</f>
        <v>0</v>
      </c>
      <c r="G41" s="237">
        <f>'2.3'!G44</f>
        <v>0</v>
      </c>
      <c r="H41" s="237">
        <f t="shared" si="0"/>
        <v>0</v>
      </c>
      <c r="I41" s="249">
        <f t="shared" si="1"/>
        <v>0</v>
      </c>
      <c r="J41" s="16"/>
      <c r="P41" s="16">
        <v>6</v>
      </c>
      <c r="T41" s="112">
        <f t="shared" si="3"/>
        <v>0</v>
      </c>
    </row>
    <row r="42" spans="1:20" ht="23.25">
      <c r="A42" s="56"/>
      <c r="B42" s="25">
        <v>5.2</v>
      </c>
      <c r="C42" s="26" t="s">
        <v>58</v>
      </c>
      <c r="D42" s="28" t="s">
        <v>3</v>
      </c>
      <c r="E42" s="237">
        <f>'2.3'!E45</f>
        <v>0</v>
      </c>
      <c r="F42" s="237">
        <f>'2.3'!F45</f>
        <v>0</v>
      </c>
      <c r="G42" s="237">
        <f>'2.3'!G45</f>
        <v>0</v>
      </c>
      <c r="H42" s="237">
        <f t="shared" si="0"/>
        <v>0</v>
      </c>
      <c r="I42" s="249">
        <f t="shared" si="1"/>
        <v>0</v>
      </c>
      <c r="J42" s="16"/>
      <c r="P42" s="16">
        <v>8</v>
      </c>
      <c r="T42" s="112">
        <f t="shared" si="3"/>
        <v>0</v>
      </c>
    </row>
    <row r="43" spans="1:20" ht="23.25">
      <c r="A43" s="56"/>
      <c r="B43" s="25">
        <v>5.3</v>
      </c>
      <c r="C43" s="26" t="s">
        <v>55</v>
      </c>
      <c r="D43" s="28" t="s">
        <v>3</v>
      </c>
      <c r="E43" s="237">
        <f>'2.3'!E46</f>
        <v>0</v>
      </c>
      <c r="F43" s="237">
        <f>'2.3'!F46</f>
        <v>0</v>
      </c>
      <c r="G43" s="237">
        <f>'2.3'!G46</f>
        <v>0</v>
      </c>
      <c r="H43" s="237">
        <f t="shared" si="0"/>
        <v>0</v>
      </c>
      <c r="I43" s="249">
        <f t="shared" si="1"/>
        <v>0</v>
      </c>
      <c r="J43" s="16"/>
      <c r="P43" s="16">
        <v>10</v>
      </c>
      <c r="T43" s="112">
        <f t="shared" si="3"/>
        <v>0</v>
      </c>
    </row>
    <row r="44" spans="1:20" ht="21.75">
      <c r="A44" s="62"/>
      <c r="B44" s="63"/>
      <c r="C44" s="63"/>
      <c r="D44" s="64"/>
      <c r="E44" s="65"/>
      <c r="F44" s="65"/>
      <c r="G44" s="65"/>
      <c r="H44" s="65"/>
    </row>
    <row r="45" spans="1:20" ht="21.75">
      <c r="A45" s="740" t="s">
        <v>951</v>
      </c>
      <c r="B45" s="740"/>
      <c r="C45" s="740"/>
      <c r="D45" s="37"/>
      <c r="E45" s="38"/>
      <c r="F45" s="38"/>
      <c r="G45" s="38"/>
      <c r="H45" s="39"/>
    </row>
    <row r="46" spans="1:20" ht="18" customHeight="1">
      <c r="A46" s="40"/>
      <c r="B46" s="42"/>
      <c r="C46" s="755">
        <v>1</v>
      </c>
      <c r="D46" s="755"/>
      <c r="E46" s="755"/>
      <c r="F46" s="755"/>
      <c r="G46" s="755"/>
      <c r="H46" s="755"/>
    </row>
    <row r="47" spans="1:20" ht="21.75">
      <c r="A47" s="35"/>
      <c r="B47" s="41"/>
      <c r="C47" s="755">
        <v>2</v>
      </c>
      <c r="D47" s="755"/>
      <c r="E47" s="755"/>
      <c r="F47" s="755"/>
      <c r="G47" s="755"/>
      <c r="H47" s="755"/>
    </row>
    <row r="48" spans="1:20" ht="21.75">
      <c r="A48" s="35"/>
      <c r="B48" s="41"/>
      <c r="C48" s="755">
        <v>3</v>
      </c>
      <c r="D48" s="755"/>
      <c r="E48" s="755"/>
      <c r="F48" s="755"/>
      <c r="G48" s="755"/>
      <c r="H48" s="755"/>
    </row>
  </sheetData>
  <mergeCells count="44">
    <mergeCell ref="U10:V10"/>
    <mergeCell ref="S11:T11"/>
    <mergeCell ref="U11:V13"/>
    <mergeCell ref="S12:T12"/>
    <mergeCell ref="S13:T13"/>
    <mergeCell ref="A45:C45"/>
    <mergeCell ref="C46:H46"/>
    <mergeCell ref="C47:H47"/>
    <mergeCell ref="C48:H48"/>
    <mergeCell ref="S10:T10"/>
    <mergeCell ref="I20:I21"/>
    <mergeCell ref="B12:D12"/>
    <mergeCell ref="F12:G12"/>
    <mergeCell ref="B13:D13"/>
    <mergeCell ref="F13:G13"/>
    <mergeCell ref="C15:E15"/>
    <mergeCell ref="C16:E16"/>
    <mergeCell ref="A18:G18"/>
    <mergeCell ref="F14:I14"/>
    <mergeCell ref="F15:I15"/>
    <mergeCell ref="F16:I16"/>
    <mergeCell ref="B27:C27"/>
    <mergeCell ref="A20:C21"/>
    <mergeCell ref="B22:C22"/>
    <mergeCell ref="B23:C23"/>
    <mergeCell ref="E20:H20"/>
    <mergeCell ref="D20:D21"/>
    <mergeCell ref="A10:D10"/>
    <mergeCell ref="F10:G10"/>
    <mergeCell ref="B11:D11"/>
    <mergeCell ref="F11:G11"/>
    <mergeCell ref="H10:I10"/>
    <mergeCell ref="H11:I13"/>
    <mergeCell ref="A1:I1"/>
    <mergeCell ref="A2:I2"/>
    <mergeCell ref="A3:I3"/>
    <mergeCell ref="A4:I4"/>
    <mergeCell ref="A8:G8"/>
    <mergeCell ref="G6:I6"/>
    <mergeCell ref="A32:G32"/>
    <mergeCell ref="A34:C35"/>
    <mergeCell ref="D34:D35"/>
    <mergeCell ref="E34:H34"/>
    <mergeCell ref="I34:I35"/>
  </mergeCells>
  <phoneticPr fontId="2" type="noConversion"/>
  <dataValidations count="3">
    <dataValidation type="list" errorStyle="information" allowBlank="1" showInputMessage="1" showErrorMessage="1" prompt="กรุณาเลือก" sqref="G6">
      <formula1>$L$5:$L$8</formula1>
    </dataValidation>
    <dataValidation allowBlank="1" showInputMessage="1" showErrorMessage="1" prompt="กรุณาใส่คะแนนตามที่หน่วยงานรายงาน_x000a_" sqref="F16"/>
    <dataValidation allowBlank="1" showInputMessage="1" showErrorMessage="1" prompt="กรุณาใส่ผลการดำเนินงานตามรายงานของหน่วยงาน" sqref="F15"/>
  </dataValidations>
  <pageMargins left="0.51181102362204722" right="0.51181102362204722" top="0.98425196850393704" bottom="0.98425196850393704" header="0.51181102362204722" footer="0.51181102362204722"/>
  <pageSetup paperSize="9" scale="97" orientation="portrait" horizontalDpi="1200" verticalDpi="1200" r:id="rId1"/>
  <headerFooter alignWithMargins="0"/>
  <colBreaks count="1" manualBreakCount="1">
    <brk id="9" max="4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30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4.425781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204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1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+IF(G6&lt;&gt;"ประเมิน",G6,(COUNTIF(B16:B30,$J$1)))</f>
        <v>0</v>
      </c>
      <c r="D11" s="92">
        <f>IF(G6&lt;&gt;"ประเมิน",G6,IF(C11&gt;6,5,IF(C11&gt;5,4,IF(C11&gt;3,3,IF(C11&gt;1,2,IF(C11&gt;0,1,0))))))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30" si="0">IF(G16="มีการดำเนินการ",$J$1, IF(A16=0,$J$2,$A$5))</f>
        <v>¨</v>
      </c>
      <c r="C16" s="86" t="s">
        <v>205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206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207</v>
      </c>
      <c r="D22" s="733"/>
      <c r="E22" s="734"/>
      <c r="F22" s="397"/>
      <c r="G22" s="378" t="s">
        <v>32</v>
      </c>
    </row>
    <row r="23" spans="1:7" s="87" customFormat="1" ht="42">
      <c r="A23" s="100"/>
      <c r="B23" s="31" t="str">
        <f t="shared" si="0"/>
        <v>¨</v>
      </c>
      <c r="C23" s="86" t="s">
        <v>208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90" t="s">
        <v>60</v>
      </c>
    </row>
    <row r="28" spans="1:7" s="87" customFormat="1" ht="42">
      <c r="A28" s="100"/>
      <c r="B28" s="31" t="str">
        <f t="shared" si="0"/>
        <v>¨</v>
      </c>
      <c r="C28" s="86" t="s">
        <v>209</v>
      </c>
      <c r="D28" s="733"/>
      <c r="E28" s="734"/>
      <c r="F28" s="397"/>
      <c r="G28" s="378" t="s">
        <v>32</v>
      </c>
    </row>
    <row r="29" spans="1:7" s="87" customFormat="1" ht="63">
      <c r="A29" s="100"/>
      <c r="B29" s="31" t="str">
        <f t="shared" si="0"/>
        <v>¨</v>
      </c>
      <c r="C29" s="86" t="s">
        <v>210</v>
      </c>
      <c r="D29" s="733"/>
      <c r="E29" s="734"/>
      <c r="F29" s="397"/>
      <c r="G29" s="378" t="s">
        <v>32</v>
      </c>
    </row>
    <row r="30" spans="1:7" s="87" customFormat="1" ht="63">
      <c r="A30" s="100"/>
      <c r="B30" s="31" t="str">
        <f t="shared" si="0"/>
        <v>¨</v>
      </c>
      <c r="C30" s="86" t="s">
        <v>211</v>
      </c>
      <c r="D30" s="733"/>
      <c r="E30" s="734"/>
      <c r="F30" s="397"/>
      <c r="G30" s="378" t="s">
        <v>32</v>
      </c>
    </row>
  </sheetData>
  <mergeCells count="20">
    <mergeCell ref="D29:E29"/>
    <mergeCell ref="D30:E30"/>
    <mergeCell ref="D21:E21"/>
    <mergeCell ref="D22:E22"/>
    <mergeCell ref="D23:E23"/>
    <mergeCell ref="A25:G25"/>
    <mergeCell ref="D27:E27"/>
    <mergeCell ref="D28:E28"/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</mergeCells>
  <dataValidations count="2">
    <dataValidation type="list" allowBlank="1" showInputMessage="1" showErrorMessage="1" sqref="G16:G18 G22:G24 G28:G30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9"/>
  <sheetViews>
    <sheetView view="pageBreakPreview" zoomScale="90" zoomScaleNormal="120" zoomScaleSheetLayoutView="9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4.85546875" style="78" customWidth="1"/>
    <col min="21" max="21" width="3.85546875" style="78" customWidth="1"/>
    <col min="22" max="22" width="4.140625" style="78" customWidth="1"/>
    <col min="23" max="24" width="3.7109375" style="78" customWidth="1"/>
    <col min="25" max="25" width="3.85546875" style="78" customWidth="1"/>
    <col min="26" max="26" width="3.140625" style="78" customWidth="1"/>
    <col min="27" max="27" width="0.42578125" style="78" customWidth="1"/>
    <col min="28" max="28" width="2.140625" style="78" customWidth="1"/>
    <col min="29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212</v>
      </c>
      <c r="B6" s="79"/>
      <c r="C6" s="13"/>
      <c r="D6" s="141"/>
      <c r="E6" s="141"/>
      <c r="F6" s="13"/>
      <c r="G6" s="370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1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+IF(G6&lt;&gt;"ประเมิน",G6,(COUNTIF(B16:B29,$J$1)))</f>
        <v>0</v>
      </c>
      <c r="D11" s="92">
        <f>IF(G6&lt;&gt;"ประเมิน",G6,IF(C11&gt;5,5,IF(C11&gt;4,4,IF(C11&gt;2,3,IF(C11&gt;1,2,IF(C11&gt;0,1,0))))))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9" si="0">IF(G16="มีการดำเนินการ",$J$1, IF(A16=0,$J$2,$A$5))</f>
        <v>¨</v>
      </c>
      <c r="C16" s="86" t="s">
        <v>213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214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260.25" customHeight="1">
      <c r="A22" s="100"/>
      <c r="B22" s="31" t="str">
        <f t="shared" si="0"/>
        <v>¨</v>
      </c>
      <c r="C22" s="94" t="s">
        <v>215</v>
      </c>
      <c r="D22" s="733"/>
      <c r="E22" s="734"/>
      <c r="F22" s="397"/>
      <c r="G22" s="378" t="s">
        <v>32</v>
      </c>
    </row>
    <row r="23" spans="1:7" s="87" customFormat="1" ht="75.75" customHeight="1">
      <c r="A23" s="100"/>
      <c r="B23" s="31" t="str">
        <f t="shared" si="0"/>
        <v>¨</v>
      </c>
      <c r="C23" s="86" t="s">
        <v>216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90" t="s">
        <v>60</v>
      </c>
    </row>
    <row r="28" spans="1:7" s="87" customFormat="1" ht="85.5" customHeight="1">
      <c r="A28" s="100"/>
      <c r="B28" s="31" t="str">
        <f t="shared" si="0"/>
        <v>¨</v>
      </c>
      <c r="C28" s="86" t="s">
        <v>217</v>
      </c>
      <c r="D28" s="733"/>
      <c r="E28" s="734"/>
      <c r="F28" s="397"/>
      <c r="G28" s="93" t="s">
        <v>32</v>
      </c>
    </row>
    <row r="29" spans="1:7" s="87" customFormat="1" ht="96" customHeight="1">
      <c r="A29" s="100"/>
      <c r="B29" s="31" t="str">
        <f t="shared" si="0"/>
        <v>¨</v>
      </c>
      <c r="C29" s="86" t="s">
        <v>218</v>
      </c>
      <c r="D29" s="733"/>
      <c r="E29" s="734"/>
      <c r="F29" s="397"/>
      <c r="G29" s="93" t="s">
        <v>32</v>
      </c>
    </row>
  </sheetData>
  <mergeCells count="19">
    <mergeCell ref="D29:E29"/>
    <mergeCell ref="D21:E21"/>
    <mergeCell ref="D22:E22"/>
    <mergeCell ref="D23:E23"/>
    <mergeCell ref="A25:G25"/>
    <mergeCell ref="D27:E27"/>
    <mergeCell ref="D28:E28"/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 G28:G29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31"/>
  <sheetViews>
    <sheetView view="pageBreakPreview" zoomScaleNormal="120" zoomScaleSheetLayoutView="100" workbookViewId="0">
      <selection activeCell="F16" sqref="F16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29.1406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.140625" style="78" customWidth="1"/>
    <col min="21" max="21" width="4" style="78" customWidth="1"/>
    <col min="22" max="22" width="4.7109375" style="78" customWidth="1"/>
    <col min="23" max="23" width="3.85546875" style="78" customWidth="1"/>
    <col min="24" max="26" width="4.42578125" style="78" customWidth="1"/>
    <col min="27" max="27" width="5" style="78" customWidth="1"/>
    <col min="28" max="28" width="5.5703125" style="78" customWidth="1"/>
    <col min="29" max="29" width="4.85546875" style="78" customWidth="1"/>
    <col min="30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227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3" t="s">
        <v>226</v>
      </c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0"/>
      <c r="AA9" s="201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2">
        <f>+IF(G6&lt;&gt;"ประเมิน","",(COUNTIF(B31:B31,$J$1)))</f>
        <v>0</v>
      </c>
      <c r="AB10" s="197"/>
      <c r="AC10" s="204">
        <f>SUM(T10:AA10)</f>
        <v>0</v>
      </c>
    </row>
    <row r="11" spans="1:29" s="89" customFormat="1" ht="26.25" customHeight="1">
      <c r="B11" s="96"/>
      <c r="C11" s="101">
        <f>+IF(G6&lt;&gt;"ประเมิน",G6,(COUNTIF(B16:B31,$J$1)))</f>
        <v>0</v>
      </c>
      <c r="D11" s="92">
        <f>IF(G6&lt;&gt;"ประเมิน",G6,IF(G11&gt;7,5,IF(G11&gt;5,4,IF(G11&gt;3,3,IF(G11&gt;1,2,IF(G11&gt;0,1,0))))))</f>
        <v>0</v>
      </c>
      <c r="E11" s="731"/>
      <c r="F11" s="731"/>
      <c r="G11" s="587">
        <f>IF(SUM(T10:Z10)=7,SUM(T10:AA10),SUM(T10:Z10))</f>
        <v>0</v>
      </c>
    </row>
    <row r="12" spans="1:29" s="85" customFormat="1" ht="11.25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31" si="0">IF(G16="มีการดำเนินการ",$J$1, IF(A16=0,$J$2,$A$5))</f>
        <v>¨</v>
      </c>
      <c r="C16" s="86" t="s">
        <v>228</v>
      </c>
      <c r="D16" s="843"/>
      <c r="E16" s="844"/>
      <c r="F16" s="443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229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230</v>
      </c>
      <c r="D22" s="733"/>
      <c r="E22" s="734"/>
      <c r="F22" s="397"/>
      <c r="G22" s="378" t="s">
        <v>32</v>
      </c>
    </row>
    <row r="23" spans="1:7" s="87" customFormat="1" ht="67.5" customHeight="1">
      <c r="A23" s="100"/>
      <c r="B23" s="31" t="str">
        <f t="shared" si="0"/>
        <v>¨</v>
      </c>
      <c r="C23" s="86" t="s">
        <v>231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90" t="s">
        <v>60</v>
      </c>
    </row>
    <row r="28" spans="1:7" s="87" customFormat="1" ht="336">
      <c r="A28" s="100"/>
      <c r="B28" s="31" t="str">
        <f t="shared" si="0"/>
        <v>¨</v>
      </c>
      <c r="C28" s="86" t="s">
        <v>232</v>
      </c>
      <c r="D28" s="733"/>
      <c r="E28" s="734"/>
      <c r="F28" s="397"/>
      <c r="G28" s="378" t="s">
        <v>32</v>
      </c>
    </row>
    <row r="29" spans="1:7" s="87" customFormat="1" ht="90.75" customHeight="1">
      <c r="A29" s="100"/>
      <c r="B29" s="31" t="str">
        <f t="shared" si="0"/>
        <v>¨</v>
      </c>
      <c r="C29" s="86" t="s">
        <v>233</v>
      </c>
      <c r="D29" s="733"/>
      <c r="E29" s="734"/>
      <c r="F29" s="397"/>
      <c r="G29" s="378" t="s">
        <v>32</v>
      </c>
    </row>
    <row r="30" spans="1:7" s="87" customFormat="1" ht="177.75" customHeight="1">
      <c r="A30" s="100"/>
      <c r="B30" s="31" t="str">
        <f t="shared" si="0"/>
        <v>¨</v>
      </c>
      <c r="C30" s="86" t="s">
        <v>234</v>
      </c>
      <c r="D30" s="733"/>
      <c r="E30" s="734"/>
      <c r="F30" s="397"/>
      <c r="G30" s="378" t="s">
        <v>32</v>
      </c>
    </row>
    <row r="31" spans="1:7" s="87" customFormat="1" ht="105">
      <c r="A31" s="100"/>
      <c r="B31" s="31" t="str">
        <f t="shared" si="0"/>
        <v>¨</v>
      </c>
      <c r="C31" s="86" t="s">
        <v>235</v>
      </c>
      <c r="D31" s="733"/>
      <c r="E31" s="734"/>
      <c r="F31" s="397"/>
      <c r="G31" s="378" t="s">
        <v>32</v>
      </c>
    </row>
  </sheetData>
  <mergeCells count="21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30:E30"/>
    <mergeCell ref="D31:E31"/>
    <mergeCell ref="D21:E21"/>
    <mergeCell ref="D22:E22"/>
    <mergeCell ref="D23:E23"/>
    <mergeCell ref="A25:G25"/>
    <mergeCell ref="D27:E27"/>
    <mergeCell ref="D28:E28"/>
  </mergeCells>
  <dataValidations count="2">
    <dataValidation type="list" allowBlank="1" showInputMessage="1" showErrorMessage="1" sqref="G16:G18 G22:G24 G28:G31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2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285156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236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237</v>
      </c>
      <c r="D16" s="733"/>
      <c r="E16" s="734"/>
      <c r="F16" s="397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238</v>
      </c>
      <c r="D17" s="733"/>
      <c r="E17" s="734"/>
      <c r="F17" s="397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239</v>
      </c>
      <c r="D18" s="733"/>
      <c r="E18" s="734"/>
      <c r="F18" s="397"/>
      <c r="G18" s="378" t="s">
        <v>32</v>
      </c>
    </row>
    <row r="19" spans="1:7" s="87" customFormat="1" ht="11.25" customHeight="1">
      <c r="A19" s="100"/>
      <c r="B19" s="121"/>
      <c r="C19" s="122"/>
      <c r="D19" s="143"/>
      <c r="E19" s="143"/>
      <c r="G19" s="123"/>
    </row>
    <row r="20" spans="1:7" s="85" customFormat="1" ht="23.25">
      <c r="A20" s="727" t="s">
        <v>77</v>
      </c>
      <c r="B20" s="727"/>
      <c r="C20" s="727"/>
      <c r="D20" s="727"/>
      <c r="E20" s="727"/>
      <c r="F20" s="727"/>
      <c r="G20" s="727"/>
    </row>
    <row r="21" spans="1:7" s="85" customFormat="1" ht="5.25" customHeight="1">
      <c r="A21" s="84"/>
      <c r="B21" s="83"/>
      <c r="C21" s="84"/>
      <c r="D21" s="142"/>
      <c r="E21" s="142"/>
      <c r="F21" s="84"/>
      <c r="G21" s="84"/>
    </row>
    <row r="22" spans="1:7" s="91" customFormat="1" ht="34.5" customHeight="1">
      <c r="A22" s="98"/>
      <c r="B22" s="99"/>
      <c r="C22" s="90" t="s">
        <v>76</v>
      </c>
      <c r="D22" s="732" t="s">
        <v>0</v>
      </c>
      <c r="E22" s="732"/>
      <c r="F22" s="443" t="s">
        <v>495</v>
      </c>
      <c r="G22" s="90" t="s">
        <v>60</v>
      </c>
    </row>
    <row r="23" spans="1:7" s="87" customFormat="1" ht="84">
      <c r="A23" s="100"/>
      <c r="B23" s="31" t="str">
        <f t="shared" si="0"/>
        <v>¨</v>
      </c>
      <c r="C23" s="86" t="s">
        <v>240</v>
      </c>
      <c r="D23" s="733"/>
      <c r="E23" s="734"/>
      <c r="F23" s="397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241</v>
      </c>
      <c r="D24" s="733"/>
      <c r="E24" s="734"/>
      <c r="F24" s="397"/>
      <c r="G24" s="378" t="s">
        <v>32</v>
      </c>
    </row>
    <row r="25" spans="1:7" s="85" customFormat="1">
      <c r="B25" s="88"/>
      <c r="D25" s="144"/>
      <c r="E25" s="144"/>
    </row>
  </sheetData>
  <mergeCells count="16">
    <mergeCell ref="E10:F10"/>
    <mergeCell ref="A1:G1"/>
    <mergeCell ref="A2:G2"/>
    <mergeCell ref="A3:G3"/>
    <mergeCell ref="A4:G4"/>
    <mergeCell ref="A8:G8"/>
    <mergeCell ref="A20:G20"/>
    <mergeCell ref="D22:E22"/>
    <mergeCell ref="D23:E23"/>
    <mergeCell ref="D24:E24"/>
    <mergeCell ref="E11:F11"/>
    <mergeCell ref="A13:G13"/>
    <mergeCell ref="D15:E15"/>
    <mergeCell ref="D16:E16"/>
    <mergeCell ref="D17:E17"/>
    <mergeCell ref="D18:E18"/>
  </mergeCells>
  <dataValidations count="2">
    <dataValidation type="list" allowBlank="1" showInputMessage="1" showErrorMessage="1" sqref="G16:G19 G23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W54"/>
  <sheetViews>
    <sheetView view="pageBreakPreview" zoomScaleNormal="90" zoomScaleSheetLayoutView="100" workbookViewId="0">
      <selection activeCell="W11" sqref="W11"/>
    </sheetView>
  </sheetViews>
  <sheetFormatPr defaultRowHeight="12.75"/>
  <cols>
    <col min="1" max="1" width="3.140625" customWidth="1"/>
    <col min="2" max="2" width="4.28515625" customWidth="1"/>
    <col min="3" max="3" width="42.1406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11.28515625" customWidth="1"/>
    <col min="9" max="9" width="0" hidden="1" customWidth="1"/>
    <col min="10" max="10" width="9.140625" hidden="1" customWidth="1"/>
    <col min="11" max="11" width="44.28515625" hidden="1" customWidth="1"/>
    <col min="12" max="16" width="9.140625" hidden="1" customWidth="1"/>
    <col min="17" max="19" width="0" hidden="1" customWidth="1"/>
    <col min="20" max="20" width="38" hidden="1" customWidth="1"/>
  </cols>
  <sheetData>
    <row r="1" spans="1:16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J1" s="81" t="s">
        <v>29</v>
      </c>
      <c r="K1" s="51" t="s">
        <v>32</v>
      </c>
      <c r="N1" s="16"/>
      <c r="P1" s="17" t="s">
        <v>9</v>
      </c>
    </row>
    <row r="2" spans="1:16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J2" s="81" t="s">
        <v>30</v>
      </c>
      <c r="K2" s="51" t="s">
        <v>31</v>
      </c>
      <c r="N2" s="16"/>
      <c r="P2" s="17">
        <v>100</v>
      </c>
    </row>
    <row r="3" spans="1:16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K3" s="48" t="s">
        <v>72</v>
      </c>
    </row>
    <row r="4" spans="1:16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</row>
    <row r="5" spans="1:16" ht="10.5" customHeight="1">
      <c r="A5" s="13"/>
      <c r="B5" s="14"/>
      <c r="C5" s="14"/>
      <c r="D5" s="13"/>
      <c r="E5" s="13"/>
      <c r="F5" s="13"/>
      <c r="G5" s="13"/>
      <c r="H5" s="13"/>
    </row>
    <row r="6" spans="1:16" ht="21">
      <c r="A6" s="787" t="s">
        <v>110</v>
      </c>
      <c r="B6" s="787"/>
      <c r="C6" s="787"/>
      <c r="D6" s="787"/>
      <c r="E6" s="787"/>
      <c r="F6" s="787"/>
      <c r="G6" s="741" t="s">
        <v>61</v>
      </c>
      <c r="H6" s="741"/>
    </row>
    <row r="7" spans="1:16" ht="21" customHeight="1">
      <c r="A7" s="787"/>
      <c r="B7" s="787"/>
      <c r="C7" s="787"/>
      <c r="D7" s="787"/>
      <c r="E7" s="787"/>
      <c r="F7" s="787"/>
      <c r="G7" s="16"/>
      <c r="H7" s="16"/>
    </row>
    <row r="8" spans="1:16" ht="23.25">
      <c r="A8" s="117"/>
      <c r="B8" s="117"/>
      <c r="C8" s="117"/>
      <c r="D8" s="117"/>
      <c r="E8" s="117"/>
      <c r="F8" s="117"/>
      <c r="G8" s="16"/>
      <c r="H8" s="16"/>
    </row>
    <row r="9" spans="1:16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16" ht="7.5" customHeight="1">
      <c r="A10" s="15"/>
      <c r="B10" s="13"/>
      <c r="C10" s="13"/>
      <c r="D10" s="13"/>
      <c r="E10" s="13"/>
      <c r="F10" s="13"/>
      <c r="G10" s="13"/>
      <c r="H10" s="13"/>
    </row>
    <row r="11" spans="1:16" ht="21.75">
      <c r="A11" s="747" t="s">
        <v>203</v>
      </c>
      <c r="B11" s="748"/>
      <c r="C11" s="748"/>
      <c r="D11" s="749"/>
      <c r="E11" s="103" t="s">
        <v>8</v>
      </c>
      <c r="F11" s="747" t="s">
        <v>0</v>
      </c>
      <c r="G11" s="749"/>
      <c r="H11" s="19" t="s">
        <v>7</v>
      </c>
      <c r="J11" s="48"/>
      <c r="L11" s="78"/>
    </row>
    <row r="12" spans="1:16" ht="23.25">
      <c r="A12" s="20">
        <v>1</v>
      </c>
      <c r="B12" s="736" t="s">
        <v>104</v>
      </c>
      <c r="C12" s="736"/>
      <c r="D12" s="737"/>
      <c r="E12" s="28" t="s">
        <v>3</v>
      </c>
      <c r="F12" s="845">
        <f>SUM(F13:G15)</f>
        <v>0</v>
      </c>
      <c r="G12" s="845"/>
      <c r="H12" s="827" t="e">
        <f>IF(G6&lt;&gt;"ประเมิน",G6,ROUND(AVERAGE(H21:H23),2))</f>
        <v>#DIV/0!</v>
      </c>
      <c r="L12" s="82" t="s">
        <v>61</v>
      </c>
    </row>
    <row r="13" spans="1:16" ht="23.25">
      <c r="A13" s="20"/>
      <c r="B13" s="104">
        <v>1.1000000000000001</v>
      </c>
      <c r="C13" s="104" t="s">
        <v>37</v>
      </c>
      <c r="D13" s="105"/>
      <c r="E13" s="28" t="s">
        <v>3</v>
      </c>
      <c r="F13" s="845">
        <f>IF($A$28="กลุ่มสาขาวิชาวิทยาศาสตร์และเทคโนโลยี",$G$31,0)</f>
        <v>0</v>
      </c>
      <c r="G13" s="845"/>
      <c r="H13" s="827"/>
      <c r="L13" s="82" t="s">
        <v>62</v>
      </c>
    </row>
    <row r="14" spans="1:16" ht="23.25">
      <c r="A14" s="20"/>
      <c r="B14" s="104">
        <v>1.2</v>
      </c>
      <c r="C14" s="104" t="s">
        <v>38</v>
      </c>
      <c r="D14" s="105"/>
      <c r="E14" s="28" t="s">
        <v>3</v>
      </c>
      <c r="F14" s="845">
        <f>IF($A$28="กลุ่มสาขาวิชาวิทยาศาสตร์สุขภาพ",$G$31,0)</f>
        <v>0</v>
      </c>
      <c r="G14" s="845"/>
      <c r="H14" s="827"/>
      <c r="L14" s="82" t="s">
        <v>73</v>
      </c>
    </row>
    <row r="15" spans="1:16" ht="23.25">
      <c r="A15" s="20"/>
      <c r="B15" s="104">
        <v>1.3</v>
      </c>
      <c r="C15" s="104" t="s">
        <v>36</v>
      </c>
      <c r="D15" s="105"/>
      <c r="E15" s="28" t="s">
        <v>3</v>
      </c>
      <c r="F15" s="845">
        <f>IF($A$28="กลุ่มสาขาวิชามนุษยศาสตร์และสังคมศาสตร์",$G$31,0)</f>
        <v>0</v>
      </c>
      <c r="G15" s="845"/>
      <c r="H15" s="827"/>
      <c r="L15" s="82" t="s">
        <v>74</v>
      </c>
    </row>
    <row r="16" spans="1:16" ht="21.75">
      <c r="A16" s="20">
        <v>2</v>
      </c>
      <c r="B16" s="736" t="s">
        <v>105</v>
      </c>
      <c r="C16" s="736"/>
      <c r="D16" s="737"/>
      <c r="E16" s="153" t="s">
        <v>100</v>
      </c>
      <c r="F16" s="845">
        <f>SUM(F17:G19)</f>
        <v>0</v>
      </c>
      <c r="G16" s="845"/>
      <c r="H16" s="827"/>
    </row>
    <row r="17" spans="1:20" ht="21.75">
      <c r="A17" s="20"/>
      <c r="B17" s="104">
        <v>2.1</v>
      </c>
      <c r="C17" s="104" t="s">
        <v>37</v>
      </c>
      <c r="D17" s="105"/>
      <c r="E17" s="153" t="s">
        <v>100</v>
      </c>
      <c r="F17" s="845">
        <f>IF($A$28="กลุ่มสาขาวิชาวิทยาศาสตร์และเทคโนโลยี",$G$32,0)</f>
        <v>0</v>
      </c>
      <c r="G17" s="845"/>
      <c r="H17" s="827"/>
    </row>
    <row r="18" spans="1:20" ht="21.75">
      <c r="A18" s="20"/>
      <c r="B18" s="104">
        <v>2.2000000000000002</v>
      </c>
      <c r="C18" s="104" t="s">
        <v>38</v>
      </c>
      <c r="D18" s="105"/>
      <c r="E18" s="153" t="s">
        <v>100</v>
      </c>
      <c r="F18" s="845">
        <f>IF($A$28="กลุ่มสาขาวิชาวิทยาศาสตร์สุขภาพ",$G$32,0)</f>
        <v>0</v>
      </c>
      <c r="G18" s="845"/>
      <c r="H18" s="827"/>
    </row>
    <row r="19" spans="1:20" ht="21.75">
      <c r="A19" s="20"/>
      <c r="B19" s="104">
        <v>2.2999999999999998</v>
      </c>
      <c r="C19" s="104" t="s">
        <v>36</v>
      </c>
      <c r="D19" s="105"/>
      <c r="E19" s="153" t="s">
        <v>100</v>
      </c>
      <c r="F19" s="845">
        <f>IF($A$28="กลุ่มสาขาวิชามนุษยศาสตร์และสังคมศาสตร์",$G$32,0)</f>
        <v>0</v>
      </c>
      <c r="G19" s="845"/>
      <c r="H19" s="827"/>
    </row>
    <row r="20" spans="1:20" ht="44.25" customHeight="1">
      <c r="A20" s="20">
        <v>3</v>
      </c>
      <c r="B20" s="736" t="s">
        <v>106</v>
      </c>
      <c r="C20" s="736"/>
      <c r="D20" s="737"/>
      <c r="E20" s="153" t="s">
        <v>5</v>
      </c>
      <c r="F20" s="845" t="e">
        <f>+IF(G6&lt;&gt;"ประเมิน",G6,ROUND((F16/F12),2))</f>
        <v>#DIV/0!</v>
      </c>
      <c r="G20" s="845"/>
      <c r="H20" s="827"/>
      <c r="L20" s="48" t="s">
        <v>109</v>
      </c>
    </row>
    <row r="21" spans="1:20" ht="21.75">
      <c r="A21" s="66"/>
      <c r="B21" s="13">
        <v>3.1</v>
      </c>
      <c r="C21" s="13" t="s">
        <v>37</v>
      </c>
      <c r="D21" s="13"/>
      <c r="E21" s="67" t="s">
        <v>5</v>
      </c>
      <c r="F21" s="846" t="str">
        <f>IF(F13=0,"-",ROUND(F17/F13,2))</f>
        <v>-</v>
      </c>
      <c r="G21" s="846"/>
      <c r="H21" s="245" t="str">
        <f>IF(F13=0,"-",IF(F21&gt;=VLOOKUP(C21,K21:L23,2),5,ROUND(F21*5/VLOOKUP(C21,K21:L23,2),2)))</f>
        <v>-</v>
      </c>
      <c r="K21" t="s">
        <v>37</v>
      </c>
      <c r="L21">
        <v>60000</v>
      </c>
    </row>
    <row r="22" spans="1:20" ht="21.75">
      <c r="A22" s="68"/>
      <c r="B22" s="69">
        <v>3.2</v>
      </c>
      <c r="C22" s="69" t="s">
        <v>38</v>
      </c>
      <c r="D22" s="69"/>
      <c r="E22" s="29" t="s">
        <v>5</v>
      </c>
      <c r="F22" s="846" t="str">
        <f>IF(F14=0,"-",ROUND(F18/F14,2))</f>
        <v>-</v>
      </c>
      <c r="G22" s="846"/>
      <c r="H22" s="245" t="str">
        <f>IF(F14=0,"-",IF(F22&gt;=VLOOKUP(C22,K21:L23,2),5,ROUND(F22*5/VLOOKUP(C22,K21:L23,2),2)))</f>
        <v>-</v>
      </c>
      <c r="K22" t="s">
        <v>38</v>
      </c>
      <c r="L22">
        <v>50000</v>
      </c>
    </row>
    <row r="23" spans="1:20" ht="21.75">
      <c r="A23" s="70"/>
      <c r="B23" s="69">
        <v>3.3</v>
      </c>
      <c r="C23" s="69" t="s">
        <v>36</v>
      </c>
      <c r="D23" s="69"/>
      <c r="E23" s="29" t="s">
        <v>5</v>
      </c>
      <c r="F23" s="846" t="str">
        <f>IF(F15=0,"-",ROUND(F19/F15,2))</f>
        <v>-</v>
      </c>
      <c r="G23" s="846"/>
      <c r="H23" s="245" t="str">
        <f>IF(F15=0,"-",IF(F23&gt;=VLOOKUP(C23,K23:L23,2),5,ROUND(F23*5/VLOOKUP(C23,K23:L23,2),2)))</f>
        <v>-</v>
      </c>
      <c r="K23" t="s">
        <v>36</v>
      </c>
      <c r="L23">
        <v>25000</v>
      </c>
    </row>
    <row r="24" spans="1:20" ht="21.75">
      <c r="B24" s="130"/>
      <c r="C24" s="130"/>
      <c r="D24" s="130"/>
      <c r="E24" s="108"/>
      <c r="F24" s="850"/>
      <c r="G24" s="850"/>
      <c r="H24" s="850"/>
    </row>
    <row r="25" spans="1:20" ht="21.75" hidden="1">
      <c r="B25" s="40"/>
      <c r="C25" s="849"/>
      <c r="D25" s="849"/>
      <c r="E25" s="849"/>
      <c r="F25" s="851"/>
      <c r="G25" s="851"/>
      <c r="H25" s="851"/>
    </row>
    <row r="26" spans="1:20" ht="21.75" hidden="1">
      <c r="A26" s="40"/>
      <c r="B26" s="40"/>
      <c r="C26" s="849"/>
      <c r="D26" s="849"/>
      <c r="E26" s="849"/>
      <c r="F26" s="746"/>
      <c r="G26" s="746"/>
      <c r="H26" s="746"/>
    </row>
    <row r="27" spans="1:20" ht="19.5" customHeight="1">
      <c r="A27" s="14"/>
      <c r="B27" s="14"/>
      <c r="C27" s="433"/>
      <c r="D27" s="13"/>
      <c r="E27" s="852"/>
      <c r="F27" s="852"/>
      <c r="G27" s="852"/>
      <c r="H27" s="852"/>
    </row>
    <row r="28" spans="1:20" ht="23.25">
      <c r="A28" s="847" t="str">
        <f>A4</f>
        <v>กลุ่มสาขาวิชามนุษยศาสตร์และสังคมศาสตร์</v>
      </c>
      <c r="B28" s="847"/>
      <c r="C28" s="847"/>
      <c r="D28" s="847"/>
      <c r="E28" s="847"/>
      <c r="F28" s="847"/>
      <c r="G28" s="847"/>
      <c r="H28" s="847"/>
    </row>
    <row r="29" spans="1:20" ht="21.75" customHeight="1">
      <c r="A29" s="745" t="s">
        <v>4</v>
      </c>
      <c r="B29" s="745"/>
      <c r="C29" s="745"/>
      <c r="D29" s="823" t="s">
        <v>2</v>
      </c>
      <c r="E29" s="759" t="s">
        <v>0</v>
      </c>
      <c r="F29" s="759"/>
      <c r="G29" s="759"/>
      <c r="H29" s="759"/>
      <c r="T29" t="s">
        <v>37</v>
      </c>
    </row>
    <row r="30" spans="1:20" ht="21.75">
      <c r="A30" s="745"/>
      <c r="B30" s="745"/>
      <c r="C30" s="745"/>
      <c r="D30" s="824"/>
      <c r="E30" s="119">
        <v>2554</v>
      </c>
      <c r="F30" s="119">
        <v>2555</v>
      </c>
      <c r="G30" s="119">
        <v>2556</v>
      </c>
      <c r="H30" s="30" t="s">
        <v>1</v>
      </c>
      <c r="T30" t="s">
        <v>38</v>
      </c>
    </row>
    <row r="31" spans="1:20" ht="21.75">
      <c r="A31" s="20">
        <v>1</v>
      </c>
      <c r="B31" s="736" t="s">
        <v>108</v>
      </c>
      <c r="C31" s="737"/>
      <c r="D31" s="28" t="s">
        <v>3</v>
      </c>
      <c r="E31" s="111"/>
      <c r="F31" s="111"/>
      <c r="G31" s="111"/>
      <c r="H31" s="244">
        <f t="shared" ref="H31:H34" si="0">SUM(E31:G31)</f>
        <v>0</v>
      </c>
      <c r="T31" t="s">
        <v>36</v>
      </c>
    </row>
    <row r="32" spans="1:20" ht="21.75">
      <c r="A32" s="23">
        <v>2</v>
      </c>
      <c r="B32" s="736" t="s">
        <v>101</v>
      </c>
      <c r="C32" s="737"/>
      <c r="D32" s="28" t="s">
        <v>100</v>
      </c>
      <c r="E32" s="172">
        <f>SUM(E33:E34)</f>
        <v>0</v>
      </c>
      <c r="F32" s="172">
        <f>SUM(F33:F34)</f>
        <v>0</v>
      </c>
      <c r="G32" s="513">
        <f>SUM(G33:G34)</f>
        <v>0</v>
      </c>
      <c r="H32" s="235">
        <f t="shared" si="0"/>
        <v>0</v>
      </c>
    </row>
    <row r="33" spans="1:23" ht="21.75">
      <c r="A33" s="24"/>
      <c r="B33" s="21">
        <v>2.1</v>
      </c>
      <c r="C33" s="105" t="s">
        <v>103</v>
      </c>
      <c r="D33" s="153" t="s">
        <v>100</v>
      </c>
      <c r="E33" s="511"/>
      <c r="F33" s="511"/>
      <c r="G33" s="512"/>
      <c r="H33" s="235">
        <f t="shared" si="0"/>
        <v>0</v>
      </c>
      <c r="W33" s="48"/>
    </row>
    <row r="34" spans="1:23" ht="21.75">
      <c r="A34" s="24"/>
      <c r="B34" s="21">
        <v>2.2000000000000002</v>
      </c>
      <c r="C34" s="105" t="s">
        <v>102</v>
      </c>
      <c r="D34" s="153" t="s">
        <v>100</v>
      </c>
      <c r="E34" s="511"/>
      <c r="F34" s="511"/>
      <c r="G34" s="511"/>
      <c r="H34" s="235">
        <f t="shared" si="0"/>
        <v>0</v>
      </c>
      <c r="W34" s="48"/>
    </row>
    <row r="35" spans="1:23" ht="21.75">
      <c r="A35" s="2"/>
      <c r="B35" s="2"/>
      <c r="C35" s="1"/>
      <c r="D35" s="1"/>
      <c r="E35" s="1"/>
      <c r="F35" s="1"/>
      <c r="G35" s="1"/>
      <c r="H35" s="1"/>
    </row>
    <row r="36" spans="1:23" ht="23.25" hidden="1">
      <c r="A36" s="848" t="s">
        <v>38</v>
      </c>
      <c r="B36" s="848"/>
      <c r="C36" s="848"/>
      <c r="D36" s="848"/>
      <c r="E36" s="848"/>
      <c r="F36" s="848"/>
      <c r="G36" s="848"/>
      <c r="H36" s="848"/>
    </row>
    <row r="37" spans="1:23" ht="21.75" hidden="1" customHeight="1">
      <c r="A37" s="745" t="s">
        <v>4</v>
      </c>
      <c r="B37" s="745"/>
      <c r="C37" s="745"/>
      <c r="D37" s="823" t="s">
        <v>2</v>
      </c>
      <c r="E37" s="759" t="s">
        <v>0</v>
      </c>
      <c r="F37" s="759"/>
      <c r="G37" s="759"/>
      <c r="H37" s="759"/>
    </row>
    <row r="38" spans="1:23" ht="21.75" hidden="1">
      <c r="A38" s="745"/>
      <c r="B38" s="745"/>
      <c r="C38" s="745"/>
      <c r="D38" s="824"/>
      <c r="E38" s="119">
        <v>2553</v>
      </c>
      <c r="F38" s="119">
        <v>2554</v>
      </c>
      <c r="G38" s="119">
        <v>2555</v>
      </c>
      <c r="H38" s="106" t="s">
        <v>1</v>
      </c>
    </row>
    <row r="39" spans="1:23" ht="21.75" hidden="1">
      <c r="A39" s="20">
        <v>1</v>
      </c>
      <c r="B39" s="736" t="s">
        <v>108</v>
      </c>
      <c r="C39" s="737"/>
      <c r="D39" s="28" t="s">
        <v>3</v>
      </c>
      <c r="E39" s="111"/>
      <c r="F39" s="111"/>
      <c r="G39" s="111"/>
      <c r="H39" s="244">
        <f t="shared" ref="H39:H42" si="1">SUM(E39:G39)</f>
        <v>0</v>
      </c>
    </row>
    <row r="40" spans="1:23" ht="21.75" hidden="1">
      <c r="A40" s="23">
        <v>2</v>
      </c>
      <c r="B40" s="736" t="s">
        <v>101</v>
      </c>
      <c r="C40" s="737"/>
      <c r="D40" s="28" t="s">
        <v>100</v>
      </c>
      <c r="E40" s="235">
        <f>SUM(E41:E42)</f>
        <v>0</v>
      </c>
      <c r="F40" s="235">
        <f>SUM(F41:F42)</f>
        <v>0</v>
      </c>
      <c r="G40" s="235">
        <f>SUM(G41:G42)</f>
        <v>0</v>
      </c>
      <c r="H40" s="235">
        <f t="shared" si="1"/>
        <v>0</v>
      </c>
    </row>
    <row r="41" spans="1:23" ht="21.75" hidden="1">
      <c r="A41" s="24"/>
      <c r="B41" s="104">
        <v>2.1</v>
      </c>
      <c r="C41" s="105" t="s">
        <v>103</v>
      </c>
      <c r="D41" s="28" t="s">
        <v>12</v>
      </c>
      <c r="E41" s="115"/>
      <c r="F41" s="115"/>
      <c r="G41" s="115"/>
      <c r="H41" s="235">
        <f t="shared" si="1"/>
        <v>0</v>
      </c>
    </row>
    <row r="42" spans="1:23" ht="21.75" hidden="1">
      <c r="A42" s="24"/>
      <c r="B42" s="104">
        <v>2.2000000000000002</v>
      </c>
      <c r="C42" s="105" t="s">
        <v>102</v>
      </c>
      <c r="D42" s="28" t="s">
        <v>12</v>
      </c>
      <c r="E42" s="115"/>
      <c r="F42" s="115"/>
      <c r="G42" s="115"/>
      <c r="H42" s="235">
        <f t="shared" si="1"/>
        <v>0</v>
      </c>
    </row>
    <row r="43" spans="1:23" hidden="1"/>
    <row r="44" spans="1:23" ht="23.25" hidden="1">
      <c r="A44" s="848" t="s">
        <v>107</v>
      </c>
      <c r="B44" s="848"/>
      <c r="C44" s="848"/>
      <c r="D44" s="848"/>
      <c r="E44" s="848"/>
      <c r="F44" s="848"/>
      <c r="G44" s="848"/>
      <c r="H44" s="848"/>
    </row>
    <row r="45" spans="1:23" ht="21.75" hidden="1" customHeight="1">
      <c r="A45" s="745" t="s">
        <v>4</v>
      </c>
      <c r="B45" s="745"/>
      <c r="C45" s="745"/>
      <c r="D45" s="745" t="s">
        <v>2</v>
      </c>
      <c r="E45" s="759" t="s">
        <v>0</v>
      </c>
      <c r="F45" s="759"/>
      <c r="G45" s="759"/>
      <c r="H45" s="759"/>
    </row>
    <row r="46" spans="1:23" ht="21.75" hidden="1">
      <c r="A46" s="745"/>
      <c r="B46" s="745"/>
      <c r="C46" s="745"/>
      <c r="D46" s="745"/>
      <c r="E46" s="119">
        <v>2553</v>
      </c>
      <c r="F46" s="119">
        <v>2554</v>
      </c>
      <c r="G46" s="106">
        <v>2555</v>
      </c>
      <c r="H46" s="106" t="s">
        <v>1</v>
      </c>
    </row>
    <row r="47" spans="1:23" ht="21.75" hidden="1">
      <c r="A47" s="20">
        <v>1</v>
      </c>
      <c r="B47" s="736" t="s">
        <v>108</v>
      </c>
      <c r="C47" s="737"/>
      <c r="D47" s="28" t="s">
        <v>3</v>
      </c>
      <c r="E47" s="111"/>
      <c r="F47" s="111"/>
      <c r="G47" s="111"/>
      <c r="H47" s="244">
        <f t="shared" ref="H47:H50" si="2">SUM(E47:G47)</f>
        <v>0</v>
      </c>
    </row>
    <row r="48" spans="1:23" ht="21.75" hidden="1">
      <c r="A48" s="23">
        <v>2</v>
      </c>
      <c r="B48" s="736" t="s">
        <v>101</v>
      </c>
      <c r="C48" s="737"/>
      <c r="D48" s="28" t="s">
        <v>100</v>
      </c>
      <c r="E48" s="235">
        <f>SUM(E49:E50)</f>
        <v>0</v>
      </c>
      <c r="F48" s="235">
        <f>SUM(F49:F50)</f>
        <v>0</v>
      </c>
      <c r="G48" s="235">
        <f>SUM(G49:G50)</f>
        <v>0</v>
      </c>
      <c r="H48" s="235">
        <f t="shared" si="2"/>
        <v>0</v>
      </c>
    </row>
    <row r="49" spans="1:21" ht="21.75" hidden="1">
      <c r="A49" s="24"/>
      <c r="B49" s="104">
        <v>2.1</v>
      </c>
      <c r="C49" s="105" t="s">
        <v>103</v>
      </c>
      <c r="D49" s="28" t="s">
        <v>12</v>
      </c>
      <c r="E49" s="115"/>
      <c r="F49" s="115"/>
      <c r="G49" s="115"/>
      <c r="H49" s="235">
        <f t="shared" si="2"/>
        <v>0</v>
      </c>
      <c r="U49" s="48" t="s">
        <v>138</v>
      </c>
    </row>
    <row r="50" spans="1:21" ht="21.75" hidden="1">
      <c r="A50" s="24"/>
      <c r="B50" s="104">
        <v>2.2000000000000002</v>
      </c>
      <c r="C50" s="105" t="s">
        <v>102</v>
      </c>
      <c r="D50" s="28" t="s">
        <v>12</v>
      </c>
      <c r="E50" s="115"/>
      <c r="F50" s="115"/>
      <c r="G50" s="115"/>
      <c r="H50" s="235">
        <f t="shared" si="2"/>
        <v>0</v>
      </c>
    </row>
    <row r="51" spans="1:21" ht="21.75">
      <c r="A51" s="740" t="s">
        <v>951</v>
      </c>
      <c r="B51" s="740"/>
      <c r="C51" s="740"/>
      <c r="D51" s="37"/>
      <c r="E51" s="38"/>
      <c r="F51" s="38"/>
      <c r="G51" s="38"/>
      <c r="H51" s="39"/>
    </row>
    <row r="52" spans="1:21" ht="18" customHeight="1">
      <c r="A52" s="40"/>
      <c r="B52" s="42"/>
      <c r="C52" s="755">
        <v>1</v>
      </c>
      <c r="D52" s="755"/>
      <c r="E52" s="755"/>
      <c r="F52" s="755"/>
      <c r="G52" s="755"/>
      <c r="H52" s="755"/>
    </row>
    <row r="53" spans="1:21" ht="21.75">
      <c r="A53" s="35"/>
      <c r="B53" s="41"/>
      <c r="C53" s="755">
        <v>2</v>
      </c>
      <c r="D53" s="755"/>
      <c r="E53" s="755"/>
      <c r="F53" s="755"/>
      <c r="G53" s="755"/>
      <c r="H53" s="755"/>
    </row>
    <row r="54" spans="1:21" ht="21.75">
      <c r="A54" s="35"/>
      <c r="B54" s="41"/>
      <c r="C54" s="755">
        <v>3</v>
      </c>
      <c r="D54" s="755"/>
      <c r="E54" s="755"/>
      <c r="F54" s="755"/>
      <c r="G54" s="755"/>
      <c r="H54" s="755"/>
    </row>
  </sheetData>
  <mergeCells count="53">
    <mergeCell ref="C52:H52"/>
    <mergeCell ref="C53:H53"/>
    <mergeCell ref="C54:H54"/>
    <mergeCell ref="B47:C47"/>
    <mergeCell ref="A45:C46"/>
    <mergeCell ref="D45:D46"/>
    <mergeCell ref="E45:H45"/>
    <mergeCell ref="B39:C39"/>
    <mergeCell ref="B40:C40"/>
    <mergeCell ref="A44:H44"/>
    <mergeCell ref="A51:C51"/>
    <mergeCell ref="B48:C48"/>
    <mergeCell ref="F21:G21"/>
    <mergeCell ref="F22:G22"/>
    <mergeCell ref="F23:G23"/>
    <mergeCell ref="A28:H28"/>
    <mergeCell ref="A36:H36"/>
    <mergeCell ref="C25:E25"/>
    <mergeCell ref="F24:H24"/>
    <mergeCell ref="F25:H25"/>
    <mergeCell ref="F26:H26"/>
    <mergeCell ref="C26:E26"/>
    <mergeCell ref="E27:H27"/>
    <mergeCell ref="B32:C32"/>
    <mergeCell ref="B31:C31"/>
    <mergeCell ref="E29:H29"/>
    <mergeCell ref="D29:D30"/>
    <mergeCell ref="A29:C30"/>
    <mergeCell ref="A37:C38"/>
    <mergeCell ref="D37:D38"/>
    <mergeCell ref="E37:H37"/>
    <mergeCell ref="A1:H1"/>
    <mergeCell ref="A2:H2"/>
    <mergeCell ref="A3:H3"/>
    <mergeCell ref="A4:H4"/>
    <mergeCell ref="G6:H6"/>
    <mergeCell ref="A9:G9"/>
    <mergeCell ref="A6:F7"/>
    <mergeCell ref="A11:D11"/>
    <mergeCell ref="F11:G11"/>
    <mergeCell ref="B12:D12"/>
    <mergeCell ref="F12:G12"/>
    <mergeCell ref="H12:H20"/>
    <mergeCell ref="F13:G13"/>
    <mergeCell ref="F18:G18"/>
    <mergeCell ref="F19:G19"/>
    <mergeCell ref="B20:D20"/>
    <mergeCell ref="F20:G20"/>
    <mergeCell ref="F14:G14"/>
    <mergeCell ref="F15:G15"/>
    <mergeCell ref="B16:D16"/>
    <mergeCell ref="F16:G16"/>
    <mergeCell ref="F17:G17"/>
  </mergeCells>
  <phoneticPr fontId="2" type="noConversion"/>
  <dataValidations count="3">
    <dataValidation type="list" errorStyle="information" allowBlank="1" showInputMessage="1" showErrorMessage="1" prompt="กรุณาเลือก" sqref="G6:H6">
      <formula1>$L$12:$L$15</formula1>
    </dataValidation>
    <dataValidation allowBlank="1" showInputMessage="1" showErrorMessage="1" prompt="กรุณาใส่ผลการดำเนินงานตามรายงานของหน่วยงาน" sqref="F25"/>
    <dataValidation allowBlank="1" showInputMessage="1" showErrorMessage="1" prompt="กรุณาใส่คะแนนตามที่หน่วยงานรายงาน_x000a_" sqref="F26"/>
  </dataValidations>
  <pageMargins left="0.5" right="0.5" top="1" bottom="1" header="0.5" footer="0.5"/>
  <pageSetup paperSize="9" scale="93" orientation="portrait" horizontalDpi="1200" verticalDpi="1200" r:id="rId1"/>
  <headerFooter alignWithMargins="0"/>
  <rowBreaks count="1" manualBreakCount="1">
    <brk id="35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110" zoomScaleSheetLayoutView="100" workbookViewId="0">
      <pane ySplit="3" topLeftCell="A4" activePane="bottomLeft" state="frozen"/>
      <selection pane="bottomLeft" activeCell="K9" sqref="K9"/>
    </sheetView>
  </sheetViews>
  <sheetFormatPr defaultColWidth="9" defaultRowHeight="26.25"/>
  <cols>
    <col min="1" max="1" width="27.7109375" style="267" customWidth="1"/>
    <col min="2" max="2" width="17.85546875" style="267" customWidth="1"/>
    <col min="3" max="3" width="14.85546875" style="267" customWidth="1"/>
    <col min="4" max="4" width="7.28515625" style="267" customWidth="1"/>
    <col min="5" max="5" width="7.42578125" style="267" customWidth="1"/>
    <col min="6" max="6" width="7.140625" style="267" customWidth="1"/>
    <col min="7" max="8" width="7" style="267" customWidth="1"/>
    <col min="9" max="9" width="18.42578125" style="267" customWidth="1"/>
    <col min="10" max="10" width="14.140625" style="625" customWidth="1"/>
    <col min="11" max="11" width="20" style="266" bestFit="1" customWidth="1"/>
    <col min="12" max="12" width="12.7109375" style="266" bestFit="1" customWidth="1"/>
    <col min="13" max="13" width="18.28515625" style="266" hidden="1" customWidth="1"/>
    <col min="14" max="14" width="11" style="266" hidden="1" customWidth="1"/>
    <col min="15" max="15" width="9" style="267"/>
    <col min="16" max="16" width="9.42578125" style="267" bestFit="1" customWidth="1"/>
    <col min="17" max="17" width="8.85546875" style="267" customWidth="1"/>
    <col min="18" max="16384" width="9" style="267"/>
  </cols>
  <sheetData>
    <row r="1" spans="1:17" ht="29.25">
      <c r="A1" s="687" t="s">
        <v>916</v>
      </c>
      <c r="B1" s="687"/>
      <c r="C1" s="687"/>
      <c r="D1" s="687"/>
      <c r="E1" s="687"/>
      <c r="F1" s="687"/>
      <c r="G1" s="687"/>
      <c r="H1" s="687"/>
      <c r="I1" s="687"/>
      <c r="J1" s="619"/>
    </row>
    <row r="2" spans="1:17" ht="29.25">
      <c r="A2" s="688" t="s">
        <v>130</v>
      </c>
      <c r="B2" s="688"/>
      <c r="C2" s="688"/>
      <c r="D2" s="688"/>
      <c r="E2" s="688"/>
      <c r="F2" s="688"/>
      <c r="G2" s="688"/>
      <c r="H2" s="688"/>
      <c r="I2" s="688"/>
      <c r="J2" s="620"/>
    </row>
    <row r="3" spans="1:17">
      <c r="A3" s="268" t="s">
        <v>385</v>
      </c>
      <c r="B3" s="617" t="s">
        <v>386</v>
      </c>
      <c r="C3" s="617" t="s">
        <v>387</v>
      </c>
      <c r="D3" s="268" t="s">
        <v>388</v>
      </c>
      <c r="E3" s="268" t="s">
        <v>389</v>
      </c>
      <c r="F3" s="268" t="s">
        <v>390</v>
      </c>
      <c r="G3" s="268" t="s">
        <v>391</v>
      </c>
      <c r="H3" s="268" t="s">
        <v>943</v>
      </c>
      <c r="I3" s="268" t="s">
        <v>392</v>
      </c>
      <c r="J3" s="621" t="s">
        <v>10</v>
      </c>
      <c r="M3" s="269"/>
      <c r="N3" s="269"/>
    </row>
    <row r="4" spans="1:17">
      <c r="A4" s="270" t="s">
        <v>393</v>
      </c>
      <c r="B4" s="271"/>
      <c r="C4" s="368" t="s">
        <v>394</v>
      </c>
      <c r="D4" s="271" t="s">
        <v>394</v>
      </c>
      <c r="E4" s="271" t="s">
        <v>394</v>
      </c>
      <c r="F4" s="271" t="s">
        <v>394</v>
      </c>
      <c r="G4" s="271" t="s">
        <v>394</v>
      </c>
      <c r="H4" s="271" t="s">
        <v>394</v>
      </c>
      <c r="I4" s="271" t="s">
        <v>394</v>
      </c>
      <c r="J4" s="622" t="s">
        <v>944</v>
      </c>
      <c r="L4" s="269"/>
      <c r="Q4" s="272"/>
    </row>
    <row r="5" spans="1:17">
      <c r="A5" s="270" t="s">
        <v>395</v>
      </c>
      <c r="B5" s="268"/>
      <c r="C5" s="369" t="s">
        <v>917</v>
      </c>
      <c r="D5" s="268" t="s">
        <v>396</v>
      </c>
      <c r="E5" s="268" t="s">
        <v>396</v>
      </c>
      <c r="F5" s="268" t="s">
        <v>396</v>
      </c>
      <c r="G5" s="268" t="s">
        <v>396</v>
      </c>
      <c r="H5" s="268" t="s">
        <v>396</v>
      </c>
      <c r="I5" s="271" t="s">
        <v>394</v>
      </c>
      <c r="J5" s="622" t="s">
        <v>944</v>
      </c>
      <c r="L5" s="269"/>
      <c r="N5" s="273"/>
      <c r="Q5" s="272"/>
    </row>
    <row r="6" spans="1:17">
      <c r="A6" s="270" t="s">
        <v>397</v>
      </c>
      <c r="B6" s="424" t="s">
        <v>394</v>
      </c>
      <c r="C6" s="368" t="s">
        <v>394</v>
      </c>
      <c r="D6" s="271"/>
      <c r="E6" s="271"/>
      <c r="F6" s="271"/>
      <c r="G6" s="271"/>
      <c r="H6" s="271"/>
      <c r="I6" s="271" t="s">
        <v>394</v>
      </c>
      <c r="J6" s="622" t="s">
        <v>945</v>
      </c>
      <c r="L6" s="418"/>
      <c r="M6" s="419"/>
      <c r="N6" s="419"/>
      <c r="O6" s="420"/>
      <c r="P6" s="420"/>
      <c r="Q6" s="421"/>
    </row>
    <row r="7" spans="1:17">
      <c r="A7" s="270" t="s">
        <v>398</v>
      </c>
      <c r="B7" s="268"/>
      <c r="C7" s="369" t="s">
        <v>917</v>
      </c>
      <c r="D7" s="268" t="s">
        <v>396</v>
      </c>
      <c r="E7" s="268" t="s">
        <v>396</v>
      </c>
      <c r="F7" s="268" t="s">
        <v>396</v>
      </c>
      <c r="G7" s="268" t="s">
        <v>396</v>
      </c>
      <c r="H7" s="268" t="s">
        <v>396</v>
      </c>
      <c r="I7" s="271" t="s">
        <v>394</v>
      </c>
      <c r="J7" s="622" t="s">
        <v>944</v>
      </c>
      <c r="L7" s="418"/>
      <c r="M7" s="419"/>
      <c r="N7" s="419"/>
      <c r="O7" s="420"/>
      <c r="P7" s="420"/>
      <c r="Q7" s="421"/>
    </row>
    <row r="8" spans="1:17">
      <c r="A8" s="270" t="s">
        <v>399</v>
      </c>
      <c r="B8" s="424" t="s">
        <v>394</v>
      </c>
      <c r="C8" s="368" t="s">
        <v>394</v>
      </c>
      <c r="D8" s="271" t="s">
        <v>394</v>
      </c>
      <c r="E8" s="271"/>
      <c r="F8" s="271"/>
      <c r="G8" s="271"/>
      <c r="H8" s="271"/>
      <c r="I8" s="271" t="s">
        <v>394</v>
      </c>
      <c r="J8" s="623"/>
      <c r="L8" s="418"/>
      <c r="M8" s="419"/>
      <c r="N8" s="419"/>
      <c r="O8" s="420"/>
      <c r="P8" s="420"/>
      <c r="Q8" s="421"/>
    </row>
    <row r="9" spans="1:17">
      <c r="A9" s="270" t="s">
        <v>400</v>
      </c>
      <c r="B9" s="424" t="s">
        <v>394</v>
      </c>
      <c r="C9" s="368" t="s">
        <v>394</v>
      </c>
      <c r="D9" s="271"/>
      <c r="E9" s="271"/>
      <c r="F9" s="271"/>
      <c r="G9" s="271"/>
      <c r="H9" s="271"/>
      <c r="I9" s="271" t="s">
        <v>394</v>
      </c>
      <c r="J9" s="622"/>
      <c r="L9" s="418"/>
      <c r="M9" s="419"/>
      <c r="N9" s="419"/>
      <c r="O9" s="420"/>
      <c r="P9" s="420"/>
      <c r="Q9" s="421"/>
    </row>
    <row r="10" spans="1:17">
      <c r="A10" s="270" t="s">
        <v>401</v>
      </c>
      <c r="B10" s="424" t="s">
        <v>394</v>
      </c>
      <c r="C10" s="368" t="s">
        <v>394</v>
      </c>
      <c r="D10" s="271"/>
      <c r="E10" s="271"/>
      <c r="F10" s="271"/>
      <c r="G10" s="271"/>
      <c r="H10" s="271"/>
      <c r="I10" s="271" t="s">
        <v>394</v>
      </c>
      <c r="J10" s="622"/>
      <c r="L10" s="418"/>
      <c r="M10" s="419"/>
      <c r="N10" s="419"/>
      <c r="O10" s="422"/>
      <c r="P10" s="420"/>
      <c r="Q10" s="421"/>
    </row>
    <row r="11" spans="1:17">
      <c r="A11" s="270" t="s">
        <v>402</v>
      </c>
      <c r="B11" s="271"/>
      <c r="C11" s="368" t="s">
        <v>394</v>
      </c>
      <c r="D11" s="271" t="s">
        <v>394</v>
      </c>
      <c r="E11" s="271" t="s">
        <v>394</v>
      </c>
      <c r="F11" s="271" t="s">
        <v>394</v>
      </c>
      <c r="G11" s="271" t="s">
        <v>394</v>
      </c>
      <c r="H11" s="271" t="s">
        <v>394</v>
      </c>
      <c r="I11" s="271" t="s">
        <v>394</v>
      </c>
      <c r="J11" s="622"/>
      <c r="L11" s="418"/>
      <c r="M11" s="419"/>
      <c r="N11" s="419"/>
      <c r="O11" s="422"/>
      <c r="P11" s="420"/>
      <c r="Q11" s="421"/>
    </row>
    <row r="12" spans="1:17">
      <c r="A12" s="270" t="s">
        <v>403</v>
      </c>
      <c r="B12" s="417"/>
      <c r="C12" s="618" t="s">
        <v>946</v>
      </c>
      <c r="D12" s="271"/>
      <c r="E12" s="271" t="s">
        <v>394</v>
      </c>
      <c r="F12" s="271"/>
      <c r="G12" s="271"/>
      <c r="H12" s="271" t="s">
        <v>394</v>
      </c>
      <c r="I12" s="271" t="s">
        <v>394</v>
      </c>
      <c r="J12" s="622"/>
      <c r="L12" s="418"/>
      <c r="M12" s="419"/>
      <c r="N12" s="419"/>
      <c r="O12" s="420"/>
      <c r="P12" s="420"/>
      <c r="Q12" s="421"/>
    </row>
    <row r="13" spans="1:17">
      <c r="A13" s="270" t="s">
        <v>404</v>
      </c>
      <c r="B13" s="424" t="s">
        <v>394</v>
      </c>
      <c r="C13" s="368" t="s">
        <v>394</v>
      </c>
      <c r="D13" s="271"/>
      <c r="E13" s="271"/>
      <c r="F13" s="271"/>
      <c r="G13" s="271"/>
      <c r="H13" s="271"/>
      <c r="I13" s="271" t="s">
        <v>394</v>
      </c>
      <c r="J13" s="622"/>
      <c r="L13" s="418"/>
      <c r="M13" s="419"/>
      <c r="N13" s="419"/>
      <c r="O13" s="420"/>
      <c r="P13" s="420"/>
      <c r="Q13" s="421"/>
    </row>
    <row r="14" spans="1:17">
      <c r="A14" s="270" t="s">
        <v>405</v>
      </c>
      <c r="B14" s="424" t="s">
        <v>394</v>
      </c>
      <c r="C14" s="368" t="s">
        <v>394</v>
      </c>
      <c r="D14" s="271"/>
      <c r="E14" s="271"/>
      <c r="F14" s="271"/>
      <c r="G14" s="271"/>
      <c r="H14" s="271"/>
      <c r="I14" s="271" t="s">
        <v>394</v>
      </c>
      <c r="J14" s="623"/>
      <c r="L14" s="418"/>
      <c r="M14" s="419"/>
      <c r="N14" s="419"/>
      <c r="O14" s="420"/>
      <c r="P14" s="420"/>
      <c r="Q14" s="421"/>
    </row>
    <row r="15" spans="1:17">
      <c r="A15" s="270" t="s">
        <v>406</v>
      </c>
      <c r="B15" s="271"/>
      <c r="C15" s="368" t="s">
        <v>394</v>
      </c>
      <c r="D15" s="271"/>
      <c r="E15" s="271"/>
      <c r="F15" s="271"/>
      <c r="G15" s="271" t="s">
        <v>394</v>
      </c>
      <c r="H15" s="271"/>
      <c r="I15" s="271" t="s">
        <v>394</v>
      </c>
      <c r="J15" s="623"/>
      <c r="K15" s="274"/>
      <c r="L15" s="269"/>
      <c r="Q15" s="272"/>
    </row>
    <row r="16" spans="1:17">
      <c r="A16" s="270" t="s">
        <v>407</v>
      </c>
      <c r="B16" s="424" t="s">
        <v>394</v>
      </c>
      <c r="C16" s="368" t="s">
        <v>394</v>
      </c>
      <c r="D16" s="271"/>
      <c r="E16" s="271"/>
      <c r="F16" s="271"/>
      <c r="G16" s="271"/>
      <c r="H16" s="271"/>
      <c r="I16" s="271" t="s">
        <v>394</v>
      </c>
      <c r="J16" s="623"/>
      <c r="K16" s="274"/>
      <c r="L16" s="269"/>
      <c r="Q16" s="272"/>
    </row>
    <row r="17" spans="1:12">
      <c r="A17" s="270" t="s">
        <v>408</v>
      </c>
      <c r="B17" s="424" t="s">
        <v>394</v>
      </c>
      <c r="C17" s="368" t="s">
        <v>394</v>
      </c>
      <c r="D17" s="271"/>
      <c r="E17" s="271"/>
      <c r="F17" s="271"/>
      <c r="G17" s="271"/>
      <c r="H17" s="271"/>
      <c r="I17" s="271" t="s">
        <v>394</v>
      </c>
      <c r="J17" s="624"/>
      <c r="L17" s="275"/>
    </row>
    <row r="18" spans="1:12">
      <c r="A18" s="270" t="s">
        <v>409</v>
      </c>
      <c r="B18" s="424" t="s">
        <v>394</v>
      </c>
      <c r="C18" s="368" t="s">
        <v>394</v>
      </c>
      <c r="D18" s="271"/>
      <c r="E18" s="271"/>
      <c r="F18" s="271"/>
      <c r="G18" s="271"/>
      <c r="H18" s="271"/>
      <c r="I18" s="271" t="s">
        <v>394</v>
      </c>
      <c r="J18" s="624"/>
    </row>
    <row r="19" spans="1:12">
      <c r="A19" s="270" t="s">
        <v>410</v>
      </c>
      <c r="B19" s="424" t="s">
        <v>394</v>
      </c>
      <c r="C19" s="368" t="s">
        <v>394</v>
      </c>
      <c r="D19" s="271"/>
      <c r="E19" s="271"/>
      <c r="F19" s="271"/>
      <c r="G19" s="271"/>
      <c r="H19" s="271"/>
      <c r="I19" s="271" t="s">
        <v>394</v>
      </c>
      <c r="J19" s="624"/>
    </row>
    <row r="20" spans="1:12">
      <c r="A20" s="270" t="s">
        <v>411</v>
      </c>
      <c r="B20" s="424" t="s">
        <v>394</v>
      </c>
      <c r="C20" s="368" t="s">
        <v>394</v>
      </c>
      <c r="D20" s="271"/>
      <c r="E20" s="271"/>
      <c r="F20" s="271"/>
      <c r="G20" s="271"/>
      <c r="H20" s="271"/>
      <c r="I20" s="271" t="s">
        <v>394</v>
      </c>
      <c r="J20" s="624"/>
    </row>
    <row r="21" spans="1:12">
      <c r="A21" s="270" t="s">
        <v>412</v>
      </c>
      <c r="B21" s="268"/>
      <c r="C21" s="368" t="s">
        <v>394</v>
      </c>
      <c r="D21" s="271"/>
      <c r="E21" s="271"/>
      <c r="F21" s="271"/>
      <c r="G21" s="271" t="s">
        <v>394</v>
      </c>
      <c r="H21" s="271" t="s">
        <v>394</v>
      </c>
      <c r="I21" s="271" t="s">
        <v>394</v>
      </c>
      <c r="J21" s="624"/>
    </row>
    <row r="22" spans="1:12">
      <c r="A22" s="270" t="s">
        <v>413</v>
      </c>
      <c r="B22" s="268"/>
      <c r="C22" s="368" t="s">
        <v>394</v>
      </c>
      <c r="D22" s="271"/>
      <c r="E22" s="271"/>
      <c r="F22" s="271"/>
      <c r="G22" s="271" t="s">
        <v>394</v>
      </c>
      <c r="H22" s="271" t="s">
        <v>394</v>
      </c>
      <c r="I22" s="271" t="s">
        <v>394</v>
      </c>
      <c r="J22" s="624"/>
    </row>
    <row r="23" spans="1:12">
      <c r="A23" s="270" t="s">
        <v>414</v>
      </c>
      <c r="B23" s="271"/>
      <c r="C23" s="368" t="s">
        <v>394</v>
      </c>
      <c r="D23" s="271"/>
      <c r="E23" s="271"/>
      <c r="F23" s="271" t="s">
        <v>394</v>
      </c>
      <c r="G23" s="271"/>
      <c r="H23" s="271"/>
      <c r="I23" s="271" t="s">
        <v>394</v>
      </c>
      <c r="J23" s="624" t="s">
        <v>947</v>
      </c>
    </row>
    <row r="24" spans="1:12">
      <c r="A24" s="270" t="s">
        <v>415</v>
      </c>
      <c r="B24" s="271"/>
      <c r="C24" s="368" t="s">
        <v>394</v>
      </c>
      <c r="D24" s="271"/>
      <c r="E24" s="271"/>
      <c r="F24" s="271" t="s">
        <v>394</v>
      </c>
      <c r="G24" s="271"/>
      <c r="H24" s="271"/>
      <c r="I24" s="271" t="s">
        <v>394</v>
      </c>
      <c r="J24" s="624" t="s">
        <v>947</v>
      </c>
    </row>
    <row r="25" spans="1:12">
      <c r="A25" s="270" t="s">
        <v>416</v>
      </c>
      <c r="B25" s="424" t="s">
        <v>394</v>
      </c>
      <c r="C25" s="368" t="s">
        <v>394</v>
      </c>
      <c r="D25" s="271"/>
      <c r="E25" s="271"/>
      <c r="F25" s="271" t="s">
        <v>394</v>
      </c>
      <c r="G25" s="271"/>
      <c r="H25" s="271"/>
      <c r="I25" s="271" t="s">
        <v>394</v>
      </c>
      <c r="J25" s="624" t="s">
        <v>947</v>
      </c>
    </row>
    <row r="26" spans="1:12">
      <c r="A26" s="270" t="s">
        <v>417</v>
      </c>
      <c r="B26" s="424" t="s">
        <v>394</v>
      </c>
      <c r="C26" s="368" t="s">
        <v>394</v>
      </c>
      <c r="D26" s="271"/>
      <c r="E26" s="271"/>
      <c r="F26" s="271" t="s">
        <v>394</v>
      </c>
      <c r="G26" s="271"/>
      <c r="H26" s="271"/>
      <c r="I26" s="271" t="s">
        <v>394</v>
      </c>
      <c r="J26" s="624" t="s">
        <v>947</v>
      </c>
    </row>
    <row r="27" spans="1:12">
      <c r="A27" s="270" t="s">
        <v>418</v>
      </c>
      <c r="B27" s="424" t="s">
        <v>394</v>
      </c>
      <c r="C27" s="368" t="s">
        <v>394</v>
      </c>
      <c r="D27" s="271"/>
      <c r="E27" s="271"/>
      <c r="F27" s="271" t="s">
        <v>394</v>
      </c>
      <c r="G27" s="271"/>
      <c r="H27" s="271"/>
      <c r="I27" s="271" t="s">
        <v>394</v>
      </c>
      <c r="J27" s="624" t="s">
        <v>947</v>
      </c>
    </row>
    <row r="28" spans="1:12">
      <c r="A28" s="270" t="s">
        <v>419</v>
      </c>
      <c r="B28" s="424" t="s">
        <v>394</v>
      </c>
      <c r="C28" s="368" t="s">
        <v>394</v>
      </c>
      <c r="D28" s="271"/>
      <c r="E28" s="271"/>
      <c r="F28" s="271" t="s">
        <v>394</v>
      </c>
      <c r="G28" s="271" t="s">
        <v>394</v>
      </c>
      <c r="H28" s="271"/>
      <c r="I28" s="271" t="s">
        <v>394</v>
      </c>
      <c r="J28" s="624" t="s">
        <v>947</v>
      </c>
    </row>
    <row r="29" spans="1:12">
      <c r="A29" s="270" t="s">
        <v>420</v>
      </c>
      <c r="B29" s="271"/>
      <c r="C29" s="368" t="s">
        <v>394</v>
      </c>
      <c r="D29" s="271"/>
      <c r="E29" s="271"/>
      <c r="F29" s="271" t="s">
        <v>394</v>
      </c>
      <c r="G29" s="271"/>
      <c r="H29" s="271"/>
      <c r="I29" s="271" t="s">
        <v>394</v>
      </c>
      <c r="J29" s="624"/>
    </row>
    <row r="30" spans="1:12">
      <c r="A30" s="270" t="s">
        <v>421</v>
      </c>
      <c r="B30" s="271"/>
      <c r="C30" s="368" t="s">
        <v>394</v>
      </c>
      <c r="D30" s="271"/>
      <c r="E30" s="271"/>
      <c r="F30" s="271" t="s">
        <v>394</v>
      </c>
      <c r="G30" s="271"/>
      <c r="H30" s="271"/>
      <c r="I30" s="271" t="s">
        <v>394</v>
      </c>
      <c r="J30" s="624"/>
    </row>
    <row r="31" spans="1:12">
      <c r="A31" s="270" t="s">
        <v>422</v>
      </c>
      <c r="B31" s="367" t="s">
        <v>394</v>
      </c>
      <c r="C31" s="368" t="s">
        <v>394</v>
      </c>
      <c r="D31" s="271"/>
      <c r="E31" s="271"/>
      <c r="F31" s="271"/>
      <c r="G31" s="271"/>
      <c r="H31" s="271"/>
      <c r="I31" s="271" t="s">
        <v>394</v>
      </c>
      <c r="J31" s="624" t="s">
        <v>947</v>
      </c>
    </row>
    <row r="32" spans="1:12">
      <c r="A32" s="270" t="s">
        <v>423</v>
      </c>
      <c r="B32" s="423"/>
      <c r="C32" s="368" t="s">
        <v>394</v>
      </c>
      <c r="D32" s="271"/>
      <c r="E32" s="271"/>
      <c r="F32" s="271" t="s">
        <v>394</v>
      </c>
      <c r="G32" s="271"/>
      <c r="H32" s="271"/>
      <c r="I32" s="271" t="s">
        <v>394</v>
      </c>
      <c r="J32" s="624"/>
    </row>
    <row r="33" spans="1:10">
      <c r="A33" s="270" t="s">
        <v>424</v>
      </c>
      <c r="B33" s="271"/>
      <c r="C33" s="368" t="s">
        <v>394</v>
      </c>
      <c r="D33" s="271"/>
      <c r="E33" s="271"/>
      <c r="F33" s="271" t="s">
        <v>394</v>
      </c>
      <c r="G33" s="271"/>
      <c r="H33" s="271"/>
      <c r="I33" s="271" t="s">
        <v>394</v>
      </c>
      <c r="J33" s="624"/>
    </row>
    <row r="34" spans="1:10">
      <c r="A34" s="270" t="s">
        <v>425</v>
      </c>
      <c r="B34" s="271"/>
      <c r="C34" s="368" t="s">
        <v>394</v>
      </c>
      <c r="D34" s="271"/>
      <c r="E34" s="271"/>
      <c r="F34" s="271" t="s">
        <v>394</v>
      </c>
      <c r="G34" s="271"/>
      <c r="H34" s="271"/>
      <c r="I34" s="271" t="s">
        <v>394</v>
      </c>
      <c r="J34" s="624"/>
    </row>
    <row r="35" spans="1:10">
      <c r="A35" s="270" t="s">
        <v>426</v>
      </c>
      <c r="B35" s="271"/>
      <c r="C35" s="368" t="s">
        <v>394</v>
      </c>
      <c r="D35" s="271"/>
      <c r="E35" s="271"/>
      <c r="F35" s="271"/>
      <c r="G35" s="271" t="s">
        <v>394</v>
      </c>
      <c r="H35" s="271"/>
      <c r="I35" s="271" t="s">
        <v>394</v>
      </c>
      <c r="J35" s="624"/>
    </row>
    <row r="36" spans="1:10">
      <c r="A36" s="270" t="s">
        <v>427</v>
      </c>
      <c r="B36" s="271"/>
      <c r="C36" s="368" t="s">
        <v>394</v>
      </c>
      <c r="D36" s="271"/>
      <c r="E36" s="271"/>
      <c r="F36" s="271"/>
      <c r="G36" s="271" t="s">
        <v>394</v>
      </c>
      <c r="H36" s="271"/>
      <c r="I36" s="271" t="s">
        <v>394</v>
      </c>
      <c r="J36" s="624"/>
    </row>
    <row r="37" spans="1:10">
      <c r="A37" s="270" t="s">
        <v>428</v>
      </c>
      <c r="B37" s="271"/>
      <c r="C37" s="368" t="s">
        <v>394</v>
      </c>
      <c r="D37" s="271" t="s">
        <v>394</v>
      </c>
      <c r="E37" s="271" t="s">
        <v>394</v>
      </c>
      <c r="F37" s="271" t="s">
        <v>394</v>
      </c>
      <c r="G37" s="271" t="s">
        <v>394</v>
      </c>
      <c r="H37" s="271" t="s">
        <v>394</v>
      </c>
      <c r="I37" s="271" t="s">
        <v>394</v>
      </c>
      <c r="J37" s="624"/>
    </row>
    <row r="38" spans="1:10">
      <c r="A38" s="270" t="s">
        <v>429</v>
      </c>
      <c r="B38" s="271"/>
      <c r="C38" s="368" t="s">
        <v>394</v>
      </c>
      <c r="D38" s="271" t="s">
        <v>394</v>
      </c>
      <c r="E38" s="271" t="s">
        <v>394</v>
      </c>
      <c r="F38" s="271" t="s">
        <v>394</v>
      </c>
      <c r="G38" s="271" t="s">
        <v>394</v>
      </c>
      <c r="H38" s="271" t="s">
        <v>394</v>
      </c>
      <c r="I38" s="271" t="s">
        <v>394</v>
      </c>
      <c r="J38" s="624"/>
    </row>
    <row r="39" spans="1:10">
      <c r="A39" s="270" t="s">
        <v>430</v>
      </c>
      <c r="B39" s="271"/>
      <c r="C39" s="368" t="s">
        <v>394</v>
      </c>
      <c r="D39" s="271" t="s">
        <v>394</v>
      </c>
      <c r="E39" s="271" t="s">
        <v>394</v>
      </c>
      <c r="F39" s="271" t="s">
        <v>394</v>
      </c>
      <c r="G39" s="271" t="s">
        <v>394</v>
      </c>
      <c r="H39" s="271" t="s">
        <v>394</v>
      </c>
      <c r="I39" s="271" t="s">
        <v>394</v>
      </c>
      <c r="J39" s="624"/>
    </row>
    <row r="40" spans="1:10">
      <c r="A40" s="270" t="s">
        <v>431</v>
      </c>
      <c r="B40" s="271"/>
      <c r="C40" s="369" t="s">
        <v>918</v>
      </c>
      <c r="D40" s="271"/>
      <c r="E40" s="271" t="s">
        <v>394</v>
      </c>
      <c r="F40" s="271"/>
      <c r="G40" s="271"/>
      <c r="H40" s="271"/>
      <c r="I40" s="271" t="s">
        <v>394</v>
      </c>
      <c r="J40" s="624"/>
    </row>
    <row r="41" spans="1:10">
      <c r="A41" s="270" t="s">
        <v>432</v>
      </c>
      <c r="B41" s="271"/>
      <c r="C41" s="368" t="s">
        <v>394</v>
      </c>
      <c r="D41" s="271" t="s">
        <v>394</v>
      </c>
      <c r="E41" s="271" t="s">
        <v>394</v>
      </c>
      <c r="F41" s="271" t="s">
        <v>394</v>
      </c>
      <c r="G41" s="271" t="s">
        <v>394</v>
      </c>
      <c r="H41" s="271" t="s">
        <v>394</v>
      </c>
      <c r="I41" s="271" t="s">
        <v>394</v>
      </c>
      <c r="J41" s="624" t="s">
        <v>944</v>
      </c>
    </row>
    <row r="42" spans="1:10">
      <c r="A42" s="270" t="s">
        <v>433</v>
      </c>
      <c r="B42" s="271"/>
      <c r="C42" s="369" t="s">
        <v>434</v>
      </c>
      <c r="D42" s="271"/>
      <c r="E42" s="271"/>
      <c r="F42" s="271"/>
      <c r="G42" s="271"/>
      <c r="H42" s="271"/>
      <c r="I42" s="271" t="s">
        <v>394</v>
      </c>
      <c r="J42" s="624"/>
    </row>
    <row r="43" spans="1:10">
      <c r="A43" s="270" t="s">
        <v>435</v>
      </c>
      <c r="B43" s="271"/>
      <c r="C43" s="368" t="s">
        <v>394</v>
      </c>
      <c r="D43" s="271" t="s">
        <v>394</v>
      </c>
      <c r="E43" s="271" t="s">
        <v>394</v>
      </c>
      <c r="F43" s="271" t="s">
        <v>394</v>
      </c>
      <c r="G43" s="271" t="s">
        <v>394</v>
      </c>
      <c r="H43" s="271" t="s">
        <v>394</v>
      </c>
      <c r="I43" s="271" t="s">
        <v>394</v>
      </c>
      <c r="J43" s="624"/>
    </row>
    <row r="44" spans="1:10">
      <c r="A44" s="270" t="s">
        <v>436</v>
      </c>
      <c r="B44" s="271"/>
      <c r="C44" s="368" t="s">
        <v>394</v>
      </c>
      <c r="D44" s="271" t="s">
        <v>394</v>
      </c>
      <c r="E44" s="271" t="s">
        <v>394</v>
      </c>
      <c r="F44" s="271" t="s">
        <v>394</v>
      </c>
      <c r="G44" s="271" t="s">
        <v>394</v>
      </c>
      <c r="H44" s="271" t="s">
        <v>394</v>
      </c>
      <c r="I44" s="271" t="s">
        <v>394</v>
      </c>
      <c r="J44" s="624" t="s">
        <v>944</v>
      </c>
    </row>
    <row r="45" spans="1:10">
      <c r="A45" s="270" t="s">
        <v>437</v>
      </c>
      <c r="B45" s="369" t="s">
        <v>396</v>
      </c>
      <c r="C45" s="368" t="s">
        <v>394</v>
      </c>
      <c r="D45" s="271" t="s">
        <v>394</v>
      </c>
      <c r="E45" s="271" t="s">
        <v>394</v>
      </c>
      <c r="F45" s="271" t="s">
        <v>394</v>
      </c>
      <c r="G45" s="271" t="s">
        <v>394</v>
      </c>
      <c r="H45" s="271" t="s">
        <v>394</v>
      </c>
      <c r="I45" s="271" t="s">
        <v>394</v>
      </c>
      <c r="J45" s="624"/>
    </row>
    <row r="46" spans="1:10">
      <c r="A46" s="270" t="s">
        <v>438</v>
      </c>
      <c r="B46" s="424" t="s">
        <v>394</v>
      </c>
      <c r="C46" s="368" t="s">
        <v>394</v>
      </c>
      <c r="D46" s="271" t="s">
        <v>394</v>
      </c>
      <c r="E46" s="271" t="s">
        <v>394</v>
      </c>
      <c r="F46" s="271" t="s">
        <v>394</v>
      </c>
      <c r="G46" s="271" t="s">
        <v>394</v>
      </c>
      <c r="H46" s="271" t="s">
        <v>394</v>
      </c>
      <c r="I46" s="271" t="s">
        <v>394</v>
      </c>
      <c r="J46" s="624"/>
    </row>
    <row r="47" spans="1:10">
      <c r="A47" s="270" t="s">
        <v>439</v>
      </c>
      <c r="B47" s="424" t="s">
        <v>394</v>
      </c>
      <c r="C47" s="368" t="s">
        <v>394</v>
      </c>
      <c r="D47" s="271"/>
      <c r="E47" s="271"/>
      <c r="F47" s="271"/>
      <c r="G47" s="271"/>
      <c r="H47" s="271"/>
      <c r="I47" s="271" t="s">
        <v>394</v>
      </c>
      <c r="J47" s="624"/>
    </row>
    <row r="48" spans="1:10">
      <c r="A48" s="270" t="s">
        <v>440</v>
      </c>
      <c r="B48" s="271"/>
      <c r="C48" s="271"/>
      <c r="D48" s="271" t="s">
        <v>394</v>
      </c>
      <c r="E48" s="271" t="s">
        <v>394</v>
      </c>
      <c r="F48" s="271" t="s">
        <v>394</v>
      </c>
      <c r="G48" s="271" t="s">
        <v>394</v>
      </c>
      <c r="H48" s="271" t="s">
        <v>394</v>
      </c>
      <c r="I48" s="271"/>
      <c r="J48" s="624"/>
    </row>
    <row r="49" spans="1:10">
      <c r="A49" s="270" t="s">
        <v>948</v>
      </c>
      <c r="B49" s="271"/>
      <c r="C49" s="368" t="s">
        <v>394</v>
      </c>
      <c r="D49" s="271"/>
      <c r="E49" s="271"/>
      <c r="F49" s="271"/>
      <c r="G49" s="271"/>
      <c r="H49" s="271"/>
      <c r="I49" s="271" t="s">
        <v>394</v>
      </c>
      <c r="J49" s="624"/>
    </row>
    <row r="50" spans="1:10">
      <c r="A50" s="270" t="s">
        <v>949</v>
      </c>
      <c r="B50" s="270"/>
      <c r="C50" s="368" t="s">
        <v>394</v>
      </c>
      <c r="D50" s="270"/>
      <c r="E50" s="270"/>
      <c r="F50" s="270"/>
      <c r="G50" s="270"/>
      <c r="H50" s="270"/>
      <c r="I50" s="271" t="s">
        <v>394</v>
      </c>
      <c r="J50" s="626"/>
    </row>
    <row r="52" spans="1:10">
      <c r="A52" s="267" t="s">
        <v>919</v>
      </c>
    </row>
  </sheetData>
  <mergeCells count="2">
    <mergeCell ref="A1:I1"/>
    <mergeCell ref="A2:I2"/>
  </mergeCells>
  <pageMargins left="0.70866141732283472" right="0.39370078740157483" top="0.74803149606299213" bottom="0.74803149606299213" header="0.31496062992125984" footer="0.31496062992125984"/>
  <pageSetup paperSize="9" scale="7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T87"/>
  <sheetViews>
    <sheetView view="pageBreakPreview" zoomScale="85" zoomScaleNormal="80" zoomScaleSheetLayoutView="85" workbookViewId="0">
      <selection activeCell="A2" sqref="A2:I3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8.7109375" customWidth="1"/>
    <col min="10" max="15" width="9.140625" hidden="1" customWidth="1"/>
    <col min="16" max="16" width="23.5703125" hidden="1" customWidth="1"/>
    <col min="17" max="17" width="9.140625" customWidth="1"/>
    <col min="18" max="18" width="10.28515625" customWidth="1"/>
    <col min="19" max="26" width="9.140625" customWidth="1"/>
  </cols>
  <sheetData>
    <row r="1" spans="1:20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</row>
    <row r="6" spans="1:20" ht="21">
      <c r="A6" s="787" t="s">
        <v>250</v>
      </c>
      <c r="B6" s="787"/>
      <c r="C6" s="787"/>
      <c r="D6" s="787"/>
      <c r="E6" s="787"/>
      <c r="F6" s="787"/>
      <c r="G6" s="741" t="s">
        <v>61</v>
      </c>
      <c r="H6" s="741"/>
    </row>
    <row r="7" spans="1:20" ht="21" customHeight="1">
      <c r="A7" s="787"/>
      <c r="B7" s="787"/>
      <c r="C7" s="787"/>
      <c r="D7" s="787"/>
      <c r="E7" s="787"/>
      <c r="F7" s="787"/>
      <c r="G7" s="16"/>
      <c r="H7" s="16"/>
    </row>
    <row r="8" spans="1:20" ht="10.5" customHeight="1">
      <c r="A8" s="117"/>
      <c r="B8" s="117"/>
      <c r="C8" s="117"/>
      <c r="D8" s="117"/>
      <c r="E8" s="117"/>
      <c r="F8" s="117"/>
      <c r="G8" s="16"/>
      <c r="H8" s="16"/>
    </row>
    <row r="9" spans="1:20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0" ht="13.5" customHeight="1">
      <c r="A10" s="15"/>
      <c r="B10" s="14"/>
      <c r="C10" s="14"/>
      <c r="D10" s="13"/>
      <c r="E10" s="13"/>
      <c r="F10" s="13"/>
      <c r="G10" s="13"/>
      <c r="H10" s="13"/>
    </row>
    <row r="11" spans="1:20" ht="43.5" customHeight="1">
      <c r="A11" s="747" t="s">
        <v>930</v>
      </c>
      <c r="B11" s="748"/>
      <c r="C11" s="748"/>
      <c r="D11" s="749"/>
      <c r="E11" s="18" t="s">
        <v>8</v>
      </c>
      <c r="F11" s="750" t="s">
        <v>929</v>
      </c>
      <c r="G11" s="751"/>
      <c r="H11" s="831" t="s">
        <v>7</v>
      </c>
      <c r="I11" s="831"/>
      <c r="J11" s="48"/>
      <c r="N11" s="78"/>
      <c r="Q11" s="750" t="s">
        <v>605</v>
      </c>
      <c r="R11" s="751"/>
      <c r="S11" s="831" t="s">
        <v>7</v>
      </c>
      <c r="T11" s="831"/>
    </row>
    <row r="12" spans="1:20" ht="23.25">
      <c r="A12" s="20">
        <v>1</v>
      </c>
      <c r="B12" s="736" t="s">
        <v>26</v>
      </c>
      <c r="C12" s="736"/>
      <c r="D12" s="737"/>
      <c r="E12" s="241" t="s">
        <v>3</v>
      </c>
      <c r="F12" s="855">
        <f>SUM(F13:G15)</f>
        <v>0</v>
      </c>
      <c r="G12" s="855"/>
      <c r="H12" s="853" t="e">
        <f>IF(G6&lt;&gt;"ประเมิน",G6,ROUND(AVERAGE(H21:H23),2))</f>
        <v>#DIV/0!</v>
      </c>
      <c r="I12" s="853"/>
      <c r="N12" s="82" t="s">
        <v>61</v>
      </c>
      <c r="Q12" s="855">
        <f>SUM(Q13:R15)</f>
        <v>0</v>
      </c>
      <c r="R12" s="855"/>
      <c r="S12" s="853">
        <f>IF(R6&lt;&gt;"ประเมิน",R6,ROUND(AVERAGE(S21:S23),2))</f>
        <v>0</v>
      </c>
      <c r="T12" s="853"/>
    </row>
    <row r="13" spans="1:20" ht="23.25">
      <c r="A13" s="20"/>
      <c r="B13" s="21">
        <v>1.1000000000000001</v>
      </c>
      <c r="C13" s="21" t="s">
        <v>37</v>
      </c>
      <c r="D13" s="22"/>
      <c r="E13" s="241" t="s">
        <v>3</v>
      </c>
      <c r="F13" s="856">
        <f>IF($B$30="กลุ่มสาขาวิชาวิทยาศาสตร์และเทคโนโลยี",$G$33,0)</f>
        <v>0</v>
      </c>
      <c r="G13" s="856"/>
      <c r="H13" s="853"/>
      <c r="I13" s="853"/>
      <c r="N13" s="82" t="s">
        <v>62</v>
      </c>
      <c r="Q13" s="856">
        <f>IF($B$30="กลุ่มสาขาวิชาวิทยาศาสตร์และเทคโนโลยี",$H$33,0)</f>
        <v>0</v>
      </c>
      <c r="R13" s="856"/>
      <c r="S13" s="853"/>
      <c r="T13" s="853"/>
    </row>
    <row r="14" spans="1:20" ht="23.25">
      <c r="A14" s="20"/>
      <c r="B14" s="21">
        <v>1.2</v>
      </c>
      <c r="C14" s="21" t="s">
        <v>38</v>
      </c>
      <c r="D14" s="22"/>
      <c r="E14" s="241" t="s">
        <v>3</v>
      </c>
      <c r="F14" s="856">
        <f>IF($B$30="กลุ่มสาขาวิชาวิทยาศาสตร์สุขภาพ",$G$33,0)</f>
        <v>0</v>
      </c>
      <c r="G14" s="856"/>
      <c r="H14" s="853"/>
      <c r="I14" s="853"/>
      <c r="N14" s="82" t="s">
        <v>73</v>
      </c>
      <c r="Q14" s="856">
        <f>IF($B$30="กลุ่มสาขาวิชาวิทยาศาสตร์สุขภาพ",$H$33,0)</f>
        <v>0</v>
      </c>
      <c r="R14" s="856"/>
      <c r="S14" s="853"/>
      <c r="T14" s="853"/>
    </row>
    <row r="15" spans="1:20" ht="23.25">
      <c r="A15" s="20"/>
      <c r="B15" s="21">
        <v>1.3</v>
      </c>
      <c r="C15" s="21" t="s">
        <v>36</v>
      </c>
      <c r="D15" s="22"/>
      <c r="E15" s="241" t="s">
        <v>3</v>
      </c>
      <c r="F15" s="856">
        <f>IF($B$30="กลุ่มสาขาวิชามนุษยศาสตร์และสังคมศาสตร์",$G$33,0)</f>
        <v>0</v>
      </c>
      <c r="G15" s="856"/>
      <c r="H15" s="853"/>
      <c r="I15" s="853"/>
      <c r="N15" s="82" t="s">
        <v>74</v>
      </c>
      <c r="Q15" s="856">
        <f>IF($B$30="กลุ่มสาขาวิชามนุษยศาสตร์และสังคมศาสตร์",$H$33,0)</f>
        <v>0</v>
      </c>
      <c r="R15" s="856"/>
      <c r="S15" s="853"/>
      <c r="T15" s="853"/>
    </row>
    <row r="16" spans="1:20" ht="42.75" customHeight="1">
      <c r="A16" s="20">
        <v>2</v>
      </c>
      <c r="B16" s="736" t="s">
        <v>28</v>
      </c>
      <c r="C16" s="736"/>
      <c r="D16" s="737"/>
      <c r="E16" s="388" t="s">
        <v>487</v>
      </c>
      <c r="F16" s="857">
        <f>SUM(F17:G19)</f>
        <v>0</v>
      </c>
      <c r="G16" s="857"/>
      <c r="H16" s="853"/>
      <c r="I16" s="853"/>
      <c r="Q16" s="857">
        <f>SUM(Q17:R19)</f>
        <v>0</v>
      </c>
      <c r="R16" s="857"/>
      <c r="S16" s="853"/>
      <c r="T16" s="853"/>
    </row>
    <row r="17" spans="1:20" ht="42.75" customHeight="1">
      <c r="A17" s="20"/>
      <c r="B17" s="21">
        <v>2.1</v>
      </c>
      <c r="C17" s="21" t="s">
        <v>37</v>
      </c>
      <c r="D17" s="22"/>
      <c r="E17" s="388" t="s">
        <v>487</v>
      </c>
      <c r="F17" s="856">
        <f>IF($B$30="กลุ่มสาขาวิชาวิทยาศาสตร์และเทคโนโลยี",$J$34,0)</f>
        <v>0</v>
      </c>
      <c r="G17" s="856"/>
      <c r="H17" s="853"/>
      <c r="I17" s="853"/>
      <c r="L17" t="s">
        <v>9</v>
      </c>
      <c r="Q17" s="856">
        <f>IF($B$30="กลุ่มสาขาวิชาวิทยาศาสตร์และเทคโนโลยี",$I$34,0)</f>
        <v>0</v>
      </c>
      <c r="R17" s="856"/>
      <c r="S17" s="853"/>
      <c r="T17" s="853"/>
    </row>
    <row r="18" spans="1:20" ht="42.75" customHeight="1">
      <c r="A18" s="20"/>
      <c r="B18" s="21">
        <v>2.2000000000000002</v>
      </c>
      <c r="C18" s="21" t="s">
        <v>38</v>
      </c>
      <c r="D18" s="22"/>
      <c r="E18" s="388" t="s">
        <v>487</v>
      </c>
      <c r="F18" s="856">
        <f>IF($B$30="กลุ่มสาขาวิชาวิทยาศาสตร์สุขภาพ",$J$34,0)</f>
        <v>0</v>
      </c>
      <c r="G18" s="856"/>
      <c r="H18" s="853"/>
      <c r="I18" s="853"/>
      <c r="L18" s="48" t="s">
        <v>36</v>
      </c>
      <c r="M18">
        <v>10</v>
      </c>
      <c r="Q18" s="856">
        <f>IF($B$30="กลุ่มสาขาวิชาวิทยาศาสตร์สุขภาพ",$I$34,0)</f>
        <v>0</v>
      </c>
      <c r="R18" s="856"/>
      <c r="S18" s="853"/>
      <c r="T18" s="853"/>
    </row>
    <row r="19" spans="1:20" ht="41.25" customHeight="1">
      <c r="A19" s="20"/>
      <c r="B19" s="21">
        <v>2.2999999999999998</v>
      </c>
      <c r="C19" s="21" t="s">
        <v>36</v>
      </c>
      <c r="D19" s="22"/>
      <c r="E19" s="388" t="s">
        <v>487</v>
      </c>
      <c r="F19" s="856">
        <f>IF($B$30="กลุ่มสาขาวิชามนุษยศาสตร์และสังคมศาสตร์",$J$34,0)</f>
        <v>0</v>
      </c>
      <c r="G19" s="856"/>
      <c r="H19" s="853"/>
      <c r="I19" s="853"/>
      <c r="L19" t="s">
        <v>37</v>
      </c>
      <c r="M19">
        <v>20</v>
      </c>
      <c r="Q19" s="856">
        <f>IF($B$30="กลุ่มสาขาวิชามนุษยศาสตร์และสังคมศาสตร์",$I$34,0)</f>
        <v>0</v>
      </c>
      <c r="R19" s="856"/>
      <c r="S19" s="853"/>
      <c r="T19" s="853"/>
    </row>
    <row r="20" spans="1:20" ht="44.25" customHeight="1">
      <c r="A20" s="20">
        <v>3</v>
      </c>
      <c r="B20" s="736" t="s">
        <v>27</v>
      </c>
      <c r="C20" s="736"/>
      <c r="D20" s="737"/>
      <c r="E20" s="241" t="s">
        <v>5</v>
      </c>
      <c r="F20" s="858" t="e">
        <f>+IF(G6&lt;&gt;"ประเมิน",G6,ROUND(F16/F12*100,2))</f>
        <v>#DIV/0!</v>
      </c>
      <c r="G20" s="858"/>
      <c r="H20" s="853"/>
      <c r="I20" s="853"/>
      <c r="L20" t="s">
        <v>38</v>
      </c>
      <c r="M20">
        <v>20</v>
      </c>
      <c r="Q20" s="858" t="e">
        <f>+IF(G6&lt;&gt;"ประเมิน",G6,ROUND(Q16/Q12*100,2))</f>
        <v>#DIV/0!</v>
      </c>
      <c r="R20" s="858"/>
      <c r="S20" s="853"/>
      <c r="T20" s="853"/>
    </row>
    <row r="21" spans="1:20" ht="21.75">
      <c r="A21" s="66"/>
      <c r="B21" s="13">
        <v>3.1</v>
      </c>
      <c r="C21" s="13" t="s">
        <v>37</v>
      </c>
      <c r="D21" s="13"/>
      <c r="E21" s="242" t="s">
        <v>5</v>
      </c>
      <c r="F21" s="859" t="str">
        <f>IF(F13=0,"-",ROUND(F17/F13*100,2))</f>
        <v>-</v>
      </c>
      <c r="G21" s="859"/>
      <c r="H21" s="854" t="str">
        <f>IF(F13=0,"-",IF(F21&gt;=VLOOKUP(C21,L18:M20,2),5,ROUND(F21*5/VLOOKUP(C21,L18:M20,2),2)))</f>
        <v>-</v>
      </c>
      <c r="I21" s="854"/>
      <c r="J21" s="682"/>
      <c r="K21" s="682"/>
      <c r="L21" s="682"/>
      <c r="Q21" s="859" t="str">
        <f>IF(Q13=0,"-",ROUND(Q17/Q13*100,2))</f>
        <v>-</v>
      </c>
      <c r="R21" s="859"/>
      <c r="S21" s="854" t="str">
        <f>IF(Q13=0,"-",IF(Q21&gt;=VLOOKUP(C21,L18:M20,2),5,ROUND(Q21*5/VLOOKUP(C21,L18:M20,2),2)))</f>
        <v>-</v>
      </c>
      <c r="T21" s="854"/>
    </row>
    <row r="22" spans="1:20" ht="21.75">
      <c r="A22" s="68"/>
      <c r="B22" s="69">
        <v>3.2</v>
      </c>
      <c r="C22" s="69" t="s">
        <v>38</v>
      </c>
      <c r="D22" s="69"/>
      <c r="E22" s="243" t="s">
        <v>5</v>
      </c>
      <c r="F22" s="854" t="str">
        <f>IF(F14=0,"-",ROUND(F18/F14*100,2))</f>
        <v>-</v>
      </c>
      <c r="G22" s="854"/>
      <c r="H22" s="854" t="str">
        <f>IF(F14=0,"-",IF(F22&gt;=VLOOKUP(C22,L18:M20,2),5,ROUND(F22*5/VLOOKUP(C22,L18:M20,2),2)))</f>
        <v>-</v>
      </c>
      <c r="I22" s="854"/>
      <c r="Q22" s="854" t="str">
        <f>IF(Q14=0,"-",ROUND(Q18/Q14*100,2))</f>
        <v>-</v>
      </c>
      <c r="R22" s="854"/>
      <c r="S22" s="854" t="str">
        <f>IF(Q14=0,"-",IF(Q22&gt;=VLOOKUP(C22,L18:M20,2),5,ROUND(Q22*5/VLOOKUP(C22,L18:M20,2),2)))</f>
        <v>-</v>
      </c>
      <c r="T22" s="854"/>
    </row>
    <row r="23" spans="1:20" ht="21.75">
      <c r="A23" s="70"/>
      <c r="B23" s="71">
        <v>3.3</v>
      </c>
      <c r="C23" s="69" t="s">
        <v>36</v>
      </c>
      <c r="D23" s="69"/>
      <c r="E23" s="243" t="s">
        <v>5</v>
      </c>
      <c r="F23" s="854" t="str">
        <f>IF(F15=0,"-",ROUND(F19/F15*100,2))</f>
        <v>-</v>
      </c>
      <c r="G23" s="854"/>
      <c r="H23" s="854" t="str">
        <f>IF(F15=0,"-",IF(F23&gt;=VLOOKUP(C23,L18:M20,2),5,ROUND(F23*5/VLOOKUP(C23,L18:M20,2),2)))</f>
        <v>-</v>
      </c>
      <c r="I23" s="854"/>
      <c r="Q23" s="854" t="str">
        <f>IF(Q15=0,"-",ROUND(Q19/Q15*100,2))</f>
        <v>-</v>
      </c>
      <c r="R23" s="854"/>
      <c r="S23" s="854" t="str">
        <f>IF(Q15=0,"-",IF(Q23&gt;=VLOOKUP(C23,L18:M20,2),5,ROUND(Q23*5/VLOOKUP(C23,L18:M20,2),2)))</f>
        <v>-</v>
      </c>
      <c r="T23" s="854"/>
    </row>
    <row r="24" spans="1:20" ht="21.75">
      <c r="B24" s="124"/>
      <c r="C24" s="130"/>
      <c r="D24" s="130"/>
      <c r="E24" s="108"/>
      <c r="F24" s="797"/>
      <c r="G24" s="797"/>
      <c r="H24" s="797"/>
      <c r="I24" s="797"/>
    </row>
    <row r="25" spans="1:20" ht="21.75">
      <c r="B25" s="40"/>
      <c r="C25" s="849"/>
      <c r="D25" s="849"/>
      <c r="E25" s="849"/>
      <c r="F25" s="746"/>
      <c r="G25" s="746"/>
      <c r="H25" s="746"/>
      <c r="I25" s="746"/>
    </row>
    <row r="26" spans="1:20" ht="19.5" customHeight="1">
      <c r="A26" s="40"/>
      <c r="B26" s="40"/>
      <c r="C26" s="849"/>
      <c r="D26" s="849"/>
      <c r="E26" s="849"/>
      <c r="F26" s="746"/>
      <c r="G26" s="746"/>
      <c r="H26" s="746"/>
      <c r="I26" s="746"/>
    </row>
    <row r="27" spans="1:20" ht="156.75" hidden="1" customHeight="1">
      <c r="A27" s="1"/>
      <c r="B27" s="2"/>
      <c r="C27" s="2"/>
      <c r="D27" s="1"/>
      <c r="E27" s="1"/>
      <c r="F27" s="1"/>
      <c r="G27" s="1"/>
      <c r="H27" s="1"/>
    </row>
    <row r="28" spans="1:20" ht="23.25">
      <c r="A28" s="727" t="s">
        <v>77</v>
      </c>
      <c r="B28" s="727"/>
      <c r="C28" s="727"/>
      <c r="D28" s="727"/>
      <c r="E28" s="727"/>
      <c r="F28" s="727"/>
      <c r="G28" s="727"/>
      <c r="H28" s="1"/>
    </row>
    <row r="29" spans="1:20" ht="21.75">
      <c r="A29" s="3"/>
      <c r="B29" s="2"/>
      <c r="C29" s="2"/>
      <c r="D29" s="1"/>
      <c r="E29" s="1"/>
      <c r="F29" s="1"/>
      <c r="G29" s="1"/>
      <c r="H29" s="1"/>
    </row>
    <row r="30" spans="1:20" ht="23.25">
      <c r="A30" s="126">
        <v>1</v>
      </c>
      <c r="B30" s="862" t="str">
        <f>A4</f>
        <v>กลุ่มสาขาวิชามนุษยศาสตร์และสังคมศาสตร์</v>
      </c>
      <c r="C30" s="862"/>
      <c r="D30" s="1"/>
      <c r="E30" s="1"/>
      <c r="F30" s="1"/>
      <c r="G30" s="1"/>
      <c r="H30" s="1"/>
    </row>
    <row r="31" spans="1:20" ht="21.75">
      <c r="A31" s="860" t="s">
        <v>4</v>
      </c>
      <c r="B31" s="860"/>
      <c r="C31" s="860"/>
      <c r="D31" s="860" t="s">
        <v>2</v>
      </c>
      <c r="E31" s="861" t="s">
        <v>0</v>
      </c>
      <c r="F31" s="861"/>
      <c r="G31" s="861"/>
      <c r="H31" s="861"/>
      <c r="I31" s="863" t="s">
        <v>21</v>
      </c>
    </row>
    <row r="32" spans="1:20" ht="21.75">
      <c r="A32" s="860"/>
      <c r="B32" s="860"/>
      <c r="C32" s="860"/>
      <c r="D32" s="860"/>
      <c r="E32" s="4">
        <v>2554</v>
      </c>
      <c r="F32" s="4">
        <v>2555</v>
      </c>
      <c r="G32" s="4">
        <v>2556</v>
      </c>
      <c r="H32" s="4" t="s">
        <v>1</v>
      </c>
      <c r="I32" s="864"/>
    </row>
    <row r="33" spans="1:10" ht="21.75">
      <c r="A33" s="11">
        <v>1</v>
      </c>
      <c r="B33" s="865" t="s">
        <v>26</v>
      </c>
      <c r="C33" s="866"/>
      <c r="D33" s="7" t="s">
        <v>3</v>
      </c>
      <c r="E33" s="111"/>
      <c r="F33" s="111"/>
      <c r="G33" s="111"/>
      <c r="H33" s="237">
        <f>SUM(E33:G33)</f>
        <v>0</v>
      </c>
      <c r="I33" s="238"/>
    </row>
    <row r="34" spans="1:10" ht="24.75" customHeight="1">
      <c r="A34" s="11">
        <v>2</v>
      </c>
      <c r="B34" s="865" t="s">
        <v>11</v>
      </c>
      <c r="C34" s="866"/>
      <c r="D34" s="7" t="s">
        <v>12</v>
      </c>
      <c r="E34" s="235">
        <f>SUM(E35:E47)</f>
        <v>0</v>
      </c>
      <c r="F34" s="235">
        <f>SUM(F35:F47)</f>
        <v>0</v>
      </c>
      <c r="G34" s="235">
        <f>SUM(G35:G47)</f>
        <v>0</v>
      </c>
      <c r="H34" s="235">
        <f>SUM(E34:G34)</f>
        <v>0</v>
      </c>
      <c r="I34" s="236">
        <f>SUM(I35:I47)</f>
        <v>0</v>
      </c>
      <c r="J34" s="114">
        <f>SUM(J35:J47)</f>
        <v>0</v>
      </c>
    </row>
    <row r="35" spans="1:10" ht="43.5">
      <c r="A35" s="386"/>
      <c r="B35" s="5">
        <v>2.1</v>
      </c>
      <c r="C35" s="6" t="s">
        <v>13</v>
      </c>
      <c r="D35" s="7" t="s">
        <v>12</v>
      </c>
      <c r="E35" s="115"/>
      <c r="F35" s="115"/>
      <c r="G35" s="115"/>
      <c r="H35" s="239">
        <f>SUM(E35:G35)</f>
        <v>0</v>
      </c>
      <c r="I35" s="240">
        <f>+H35*0.25</f>
        <v>0</v>
      </c>
      <c r="J35" s="146">
        <f>+G35*0.25</f>
        <v>0</v>
      </c>
    </row>
    <row r="36" spans="1:10" ht="43.5">
      <c r="A36" s="386"/>
      <c r="B36" s="5">
        <v>2.2000000000000002</v>
      </c>
      <c r="C36" s="6" t="s">
        <v>15</v>
      </c>
      <c r="D36" s="7" t="s">
        <v>12</v>
      </c>
      <c r="E36" s="115"/>
      <c r="F36" s="115"/>
      <c r="G36" s="115"/>
      <c r="H36" s="239">
        <f t="shared" ref="H36:H47" si="0">SUM(E36:G36)</f>
        <v>0</v>
      </c>
      <c r="I36" s="240">
        <f>+H36*0.25</f>
        <v>0</v>
      </c>
      <c r="J36" s="146">
        <f>+G36*0.25</f>
        <v>0</v>
      </c>
    </row>
    <row r="37" spans="1:10" ht="43.5">
      <c r="A37" s="386"/>
      <c r="B37" s="5">
        <v>2.2999999999999998</v>
      </c>
      <c r="C37" s="372" t="s">
        <v>488</v>
      </c>
      <c r="D37" s="7" t="s">
        <v>12</v>
      </c>
      <c r="E37" s="115"/>
      <c r="F37" s="115"/>
      <c r="G37" s="115"/>
      <c r="H37" s="239">
        <f t="shared" si="0"/>
        <v>0</v>
      </c>
      <c r="I37" s="240">
        <f>+H37*0.25</f>
        <v>0</v>
      </c>
      <c r="J37" s="146">
        <f>+G37*0.25</f>
        <v>0</v>
      </c>
    </row>
    <row r="38" spans="1:10" ht="43.5">
      <c r="A38" s="386"/>
      <c r="B38" s="5">
        <v>2.4</v>
      </c>
      <c r="C38" s="6" t="s">
        <v>63</v>
      </c>
      <c r="D38" s="7" t="s">
        <v>12</v>
      </c>
      <c r="E38" s="115"/>
      <c r="F38" s="115"/>
      <c r="G38" s="115"/>
      <c r="H38" s="239">
        <f t="shared" si="0"/>
        <v>0</v>
      </c>
      <c r="I38" s="240">
        <f>+H38*0.5</f>
        <v>0</v>
      </c>
      <c r="J38" s="146">
        <f>+G38*0.5</f>
        <v>0</v>
      </c>
    </row>
    <row r="39" spans="1:10" ht="43.5">
      <c r="A39" s="386"/>
      <c r="B39" s="5">
        <v>2.5</v>
      </c>
      <c r="C39" s="6" t="s">
        <v>64</v>
      </c>
      <c r="D39" s="7" t="s">
        <v>12</v>
      </c>
      <c r="E39" s="115"/>
      <c r="F39" s="115"/>
      <c r="G39" s="115"/>
      <c r="H39" s="239">
        <f t="shared" si="0"/>
        <v>0</v>
      </c>
      <c r="I39" s="240">
        <f>+H39*0.75</f>
        <v>0</v>
      </c>
      <c r="J39" s="146">
        <f>+G39*0.75</f>
        <v>0</v>
      </c>
    </row>
    <row r="40" spans="1:10" ht="43.5">
      <c r="A40" s="386"/>
      <c r="B40" s="5">
        <v>2.6</v>
      </c>
      <c r="C40" s="372" t="s">
        <v>489</v>
      </c>
      <c r="D40" s="7" t="s">
        <v>12</v>
      </c>
      <c r="E40" s="115"/>
      <c r="F40" s="115"/>
      <c r="G40" s="115"/>
      <c r="H40" s="239">
        <f t="shared" si="0"/>
        <v>0</v>
      </c>
      <c r="I40" s="240">
        <f>+H40*1</f>
        <v>0</v>
      </c>
      <c r="J40" s="146">
        <f>+G40*1</f>
        <v>0</v>
      </c>
    </row>
    <row r="41" spans="1:10" ht="45" customHeight="1">
      <c r="A41" s="386"/>
      <c r="B41" s="5">
        <v>2.7</v>
      </c>
      <c r="C41" s="372" t="s">
        <v>490</v>
      </c>
      <c r="D41" s="7" t="s">
        <v>12</v>
      </c>
      <c r="E41" s="115"/>
      <c r="F41" s="115"/>
      <c r="G41" s="115"/>
      <c r="H41" s="239">
        <f t="shared" si="0"/>
        <v>0</v>
      </c>
      <c r="I41" s="240">
        <f>+H41*1</f>
        <v>0</v>
      </c>
      <c r="J41" s="146">
        <f>+G41*1</f>
        <v>0</v>
      </c>
    </row>
    <row r="42" spans="1:10" ht="47.25" customHeight="1">
      <c r="A42" s="386"/>
      <c r="B42" s="5">
        <v>2.8</v>
      </c>
      <c r="C42" s="372" t="s">
        <v>485</v>
      </c>
      <c r="D42" s="7" t="s">
        <v>12</v>
      </c>
      <c r="E42" s="115"/>
      <c r="F42" s="115"/>
      <c r="G42" s="115"/>
      <c r="H42" s="239">
        <f>SUM(E42:G42)</f>
        <v>0</v>
      </c>
      <c r="I42" s="240">
        <f>+H42*1</f>
        <v>0</v>
      </c>
      <c r="J42" s="146">
        <f>+G42*1</f>
        <v>0</v>
      </c>
    </row>
    <row r="43" spans="1:10" ht="43.5">
      <c r="A43" s="386"/>
      <c r="B43" s="120">
        <v>2.9</v>
      </c>
      <c r="C43" s="6" t="s">
        <v>16</v>
      </c>
      <c r="D43" s="7" t="s">
        <v>12</v>
      </c>
      <c r="E43" s="115"/>
      <c r="F43" s="115"/>
      <c r="G43" s="115"/>
      <c r="H43" s="239">
        <f t="shared" si="0"/>
        <v>0</v>
      </c>
      <c r="I43" s="240">
        <f>+H43*0.125</f>
        <v>0</v>
      </c>
      <c r="J43" s="146">
        <f>+G43*0.125</f>
        <v>0</v>
      </c>
    </row>
    <row r="44" spans="1:10" ht="21.75">
      <c r="A44" s="386"/>
      <c r="B44" s="33">
        <v>2.1</v>
      </c>
      <c r="C44" s="6" t="s">
        <v>17</v>
      </c>
      <c r="D44" s="7" t="s">
        <v>12</v>
      </c>
      <c r="E44" s="115"/>
      <c r="F44" s="115"/>
      <c r="G44" s="115"/>
      <c r="H44" s="239">
        <f t="shared" si="0"/>
        <v>0</v>
      </c>
      <c r="I44" s="240">
        <f>+H44*0.25</f>
        <v>0</v>
      </c>
      <c r="J44" s="146">
        <f>+G44*0.25</f>
        <v>0</v>
      </c>
    </row>
    <row r="45" spans="1:10" ht="43.5">
      <c r="A45" s="386"/>
      <c r="B45" s="33">
        <v>2.11</v>
      </c>
      <c r="C45" s="6" t="s">
        <v>18</v>
      </c>
      <c r="D45" s="7" t="s">
        <v>12</v>
      </c>
      <c r="E45" s="115"/>
      <c r="F45" s="115"/>
      <c r="G45" s="115"/>
      <c r="H45" s="239">
        <f t="shared" si="0"/>
        <v>0</v>
      </c>
      <c r="I45" s="240">
        <f>+H45*0.5</f>
        <v>0</v>
      </c>
      <c r="J45" s="146">
        <f>+G45*0.5</f>
        <v>0</v>
      </c>
    </row>
    <row r="46" spans="1:10" ht="25.5" customHeight="1">
      <c r="A46" s="386"/>
      <c r="B46" s="5">
        <v>2.12</v>
      </c>
      <c r="C46" s="6" t="s">
        <v>19</v>
      </c>
      <c r="D46" s="7" t="s">
        <v>12</v>
      </c>
      <c r="E46" s="115"/>
      <c r="F46" s="115"/>
      <c r="G46" s="115"/>
      <c r="H46" s="239">
        <f t="shared" si="0"/>
        <v>0</v>
      </c>
      <c r="I46" s="240">
        <f>+H46*0.75</f>
        <v>0</v>
      </c>
      <c r="J46" s="146">
        <f>+G46*0.75</f>
        <v>0</v>
      </c>
    </row>
    <row r="47" spans="1:10" ht="21.75">
      <c r="A47" s="9"/>
      <c r="B47" s="5">
        <v>2.13</v>
      </c>
      <c r="C47" s="6" t="s">
        <v>20</v>
      </c>
      <c r="D47" s="7" t="s">
        <v>12</v>
      </c>
      <c r="E47" s="115"/>
      <c r="F47" s="115"/>
      <c r="G47" s="115"/>
      <c r="H47" s="239">
        <f t="shared" si="0"/>
        <v>0</v>
      </c>
      <c r="I47" s="240">
        <f>+H47*1</f>
        <v>0</v>
      </c>
      <c r="J47" s="146">
        <f>+G47*1</f>
        <v>0</v>
      </c>
    </row>
    <row r="48" spans="1:10" ht="21.75">
      <c r="A48" s="740" t="s">
        <v>951</v>
      </c>
      <c r="B48" s="740"/>
      <c r="C48" s="740"/>
      <c r="D48" s="37"/>
      <c r="E48" s="38"/>
      <c r="F48" s="38"/>
      <c r="G48" s="38"/>
      <c r="H48" s="39"/>
    </row>
    <row r="49" spans="1:10" ht="18" customHeight="1">
      <c r="A49" s="40"/>
      <c r="B49" s="42"/>
      <c r="C49" s="755">
        <v>1</v>
      </c>
      <c r="D49" s="755"/>
      <c r="E49" s="755"/>
      <c r="F49" s="755"/>
      <c r="G49" s="755"/>
      <c r="H49" s="755"/>
    </row>
    <row r="50" spans="1:10" ht="21.75">
      <c r="A50" s="35"/>
      <c r="B50" s="41"/>
      <c r="C50" s="755">
        <v>2</v>
      </c>
      <c r="D50" s="755"/>
      <c r="E50" s="755"/>
      <c r="F50" s="755"/>
      <c r="G50" s="755"/>
      <c r="H50" s="755"/>
    </row>
    <row r="51" spans="1:10" ht="21.75">
      <c r="A51" s="35"/>
      <c r="B51" s="41"/>
      <c r="C51" s="755">
        <v>3</v>
      </c>
      <c r="D51" s="755"/>
      <c r="E51" s="755"/>
      <c r="F51" s="755"/>
      <c r="G51" s="755"/>
      <c r="H51" s="755"/>
    </row>
    <row r="52" spans="1:10" ht="21.75" hidden="1">
      <c r="A52" s="11">
        <v>1</v>
      </c>
      <c r="B52" s="865" t="s">
        <v>26</v>
      </c>
      <c r="C52" s="866"/>
      <c r="D52" s="7" t="s">
        <v>3</v>
      </c>
      <c r="E52" s="111"/>
      <c r="F52" s="111"/>
      <c r="G52" s="111"/>
      <c r="H52" s="237">
        <f>SUM(E52:G52)</f>
        <v>0</v>
      </c>
      <c r="I52" s="238"/>
    </row>
    <row r="53" spans="1:10" ht="21.75" hidden="1">
      <c r="A53" s="10">
        <v>2</v>
      </c>
      <c r="B53" s="865" t="s">
        <v>11</v>
      </c>
      <c r="C53" s="866"/>
      <c r="D53" s="7" t="s">
        <v>12</v>
      </c>
      <c r="E53" s="235">
        <f>SUM(E54:E66)</f>
        <v>0</v>
      </c>
      <c r="F53" s="235">
        <f>SUM(F54:F66)</f>
        <v>0</v>
      </c>
      <c r="G53" s="235">
        <f>SUM(G54:G66)</f>
        <v>0</v>
      </c>
      <c r="H53" s="235">
        <f>SUM(E53:G53)</f>
        <v>0</v>
      </c>
      <c r="I53" s="236">
        <f>SUM(I54:I66)</f>
        <v>0</v>
      </c>
      <c r="J53" s="114">
        <f>SUM(J54:J66)</f>
        <v>0</v>
      </c>
    </row>
    <row r="54" spans="1:10" ht="43.5" hidden="1">
      <c r="A54" s="8"/>
      <c r="B54" s="5">
        <v>2.1</v>
      </c>
      <c r="C54" s="6" t="s">
        <v>13</v>
      </c>
      <c r="D54" s="7" t="s">
        <v>12</v>
      </c>
      <c r="E54" s="115"/>
      <c r="F54" s="115"/>
      <c r="G54" s="115"/>
      <c r="H54" s="239">
        <f>SUM(E54:G54)</f>
        <v>0</v>
      </c>
      <c r="I54" s="240">
        <f>+H54*0.25</f>
        <v>0</v>
      </c>
      <c r="J54" s="146">
        <f>+G54*0.25</f>
        <v>0</v>
      </c>
    </row>
    <row r="55" spans="1:10" ht="43.5" hidden="1">
      <c r="A55" s="8"/>
      <c r="B55" s="5">
        <v>2.2000000000000002</v>
      </c>
      <c r="C55" s="6" t="s">
        <v>15</v>
      </c>
      <c r="D55" s="7" t="s">
        <v>12</v>
      </c>
      <c r="E55" s="115"/>
      <c r="F55" s="115"/>
      <c r="G55" s="115"/>
      <c r="H55" s="239">
        <f t="shared" ref="H55:H66" si="1">SUM(E55:G55)</f>
        <v>0</v>
      </c>
      <c r="I55" s="240">
        <f>+H55*0.25</f>
        <v>0</v>
      </c>
      <c r="J55" s="146">
        <f>+G55*0.25</f>
        <v>0</v>
      </c>
    </row>
    <row r="56" spans="1:10" ht="65.25" hidden="1">
      <c r="A56" s="8"/>
      <c r="B56" s="5">
        <v>2.2999999999999998</v>
      </c>
      <c r="C56" s="6" t="s">
        <v>14</v>
      </c>
      <c r="D56" s="7" t="s">
        <v>12</v>
      </c>
      <c r="E56" s="115"/>
      <c r="F56" s="115"/>
      <c r="G56" s="115"/>
      <c r="H56" s="239">
        <f t="shared" si="1"/>
        <v>0</v>
      </c>
      <c r="I56" s="240">
        <f>+H56*0.25</f>
        <v>0</v>
      </c>
      <c r="J56" s="146">
        <f>+G56*0.25</f>
        <v>0</v>
      </c>
    </row>
    <row r="57" spans="1:10" ht="43.5" hidden="1">
      <c r="A57" s="8"/>
      <c r="B57" s="5">
        <v>2.4</v>
      </c>
      <c r="C57" s="6" t="s">
        <v>63</v>
      </c>
      <c r="D57" s="7" t="s">
        <v>12</v>
      </c>
      <c r="E57" s="115"/>
      <c r="F57" s="115"/>
      <c r="G57" s="115"/>
      <c r="H57" s="239">
        <f t="shared" si="1"/>
        <v>0</v>
      </c>
      <c r="I57" s="240">
        <f>+H57*0.5</f>
        <v>0</v>
      </c>
      <c r="J57" s="146">
        <f>+G57*0.5</f>
        <v>0</v>
      </c>
    </row>
    <row r="58" spans="1:10" ht="43.5" hidden="1">
      <c r="A58" s="8"/>
      <c r="B58" s="5">
        <v>2.6</v>
      </c>
      <c r="C58" s="6" t="s">
        <v>64</v>
      </c>
      <c r="D58" s="7" t="s">
        <v>12</v>
      </c>
      <c r="E58" s="115"/>
      <c r="F58" s="115"/>
      <c r="G58" s="115"/>
      <c r="H58" s="239">
        <f t="shared" si="1"/>
        <v>0</v>
      </c>
      <c r="I58" s="240">
        <f>+H58*0.75</f>
        <v>0</v>
      </c>
      <c r="J58" s="146">
        <f>+G58*0.75</f>
        <v>0</v>
      </c>
    </row>
    <row r="59" spans="1:10" ht="65.25" hidden="1">
      <c r="A59" s="8"/>
      <c r="B59" s="5">
        <v>2.7</v>
      </c>
      <c r="C59" s="372" t="s">
        <v>491</v>
      </c>
      <c r="D59" s="7" t="s">
        <v>12</v>
      </c>
      <c r="E59" s="115"/>
      <c r="F59" s="115"/>
      <c r="G59" s="115"/>
      <c r="H59" s="239">
        <f t="shared" si="1"/>
        <v>0</v>
      </c>
      <c r="I59" s="240">
        <f>+H59*1</f>
        <v>0</v>
      </c>
      <c r="J59" s="146">
        <f>+G59*1</f>
        <v>0</v>
      </c>
    </row>
    <row r="60" spans="1:10" ht="43.5" hidden="1">
      <c r="A60" s="8"/>
      <c r="B60" s="5">
        <v>2.8</v>
      </c>
      <c r="C60" s="372" t="s">
        <v>490</v>
      </c>
      <c r="D60" s="7" t="s">
        <v>12</v>
      </c>
      <c r="E60" s="115"/>
      <c r="F60" s="115"/>
      <c r="G60" s="115"/>
      <c r="H60" s="239">
        <f>SUM(E60:G60)</f>
        <v>0</v>
      </c>
      <c r="I60" s="240">
        <f>+H60*1</f>
        <v>0</v>
      </c>
      <c r="J60" s="146">
        <f>+G60*1</f>
        <v>0</v>
      </c>
    </row>
    <row r="61" spans="1:10" ht="43.5" hidden="1">
      <c r="A61" s="8"/>
      <c r="B61" s="5">
        <v>2.9</v>
      </c>
      <c r="C61" s="372" t="s">
        <v>485</v>
      </c>
      <c r="D61" s="7" t="s">
        <v>12</v>
      </c>
      <c r="E61" s="115"/>
      <c r="F61" s="115"/>
      <c r="G61" s="115"/>
      <c r="H61" s="239">
        <f>SUM(E61:G61)</f>
        <v>0</v>
      </c>
      <c r="I61" s="240">
        <f>+H61*1</f>
        <v>0</v>
      </c>
      <c r="J61" s="146">
        <f>+G61*1</f>
        <v>0</v>
      </c>
    </row>
    <row r="62" spans="1:10" ht="43.5" hidden="1">
      <c r="A62" s="8"/>
      <c r="B62" s="33">
        <v>2.1</v>
      </c>
      <c r="C62" s="6" t="s">
        <v>16</v>
      </c>
      <c r="D62" s="7" t="s">
        <v>12</v>
      </c>
      <c r="E62" s="115"/>
      <c r="F62" s="115"/>
      <c r="G62" s="115"/>
      <c r="H62" s="239">
        <f t="shared" si="1"/>
        <v>0</v>
      </c>
      <c r="I62" s="240">
        <f>+H62*0.125</f>
        <v>0</v>
      </c>
      <c r="J62" s="146">
        <f>+G62*0.125</f>
        <v>0</v>
      </c>
    </row>
    <row r="63" spans="1:10" ht="21.75" hidden="1">
      <c r="A63" s="8"/>
      <c r="B63" s="5">
        <v>2.11</v>
      </c>
      <c r="C63" s="6" t="s">
        <v>17</v>
      </c>
      <c r="D63" s="7" t="s">
        <v>12</v>
      </c>
      <c r="E63" s="115"/>
      <c r="F63" s="115"/>
      <c r="G63" s="115"/>
      <c r="H63" s="239">
        <f t="shared" si="1"/>
        <v>0</v>
      </c>
      <c r="I63" s="240">
        <f>+H63*0.25</f>
        <v>0</v>
      </c>
      <c r="J63" s="146">
        <f>+G63*0.25</f>
        <v>0</v>
      </c>
    </row>
    <row r="64" spans="1:10" ht="43.5" hidden="1">
      <c r="A64" s="8"/>
      <c r="B64" s="33">
        <v>2.12</v>
      </c>
      <c r="C64" s="6" t="s">
        <v>18</v>
      </c>
      <c r="D64" s="7" t="s">
        <v>12</v>
      </c>
      <c r="E64" s="115"/>
      <c r="F64" s="115"/>
      <c r="G64" s="115"/>
      <c r="H64" s="239">
        <f t="shared" si="1"/>
        <v>0</v>
      </c>
      <c r="I64" s="240">
        <f>+H64*0.5</f>
        <v>0</v>
      </c>
      <c r="J64" s="146">
        <f>+G64*0.5</f>
        <v>0</v>
      </c>
    </row>
    <row r="65" spans="1:10" ht="43.5" hidden="1">
      <c r="A65" s="8"/>
      <c r="B65" s="5">
        <v>2.13</v>
      </c>
      <c r="C65" s="6" t="s">
        <v>19</v>
      </c>
      <c r="D65" s="7" t="s">
        <v>12</v>
      </c>
      <c r="E65" s="115"/>
      <c r="F65" s="115"/>
      <c r="G65" s="115"/>
      <c r="H65" s="239">
        <f t="shared" si="1"/>
        <v>0</v>
      </c>
      <c r="I65" s="240">
        <f>+H65*0.75</f>
        <v>0</v>
      </c>
      <c r="J65" s="146">
        <f>+G65*0.75</f>
        <v>0</v>
      </c>
    </row>
    <row r="66" spans="1:10" ht="21.75" hidden="1">
      <c r="A66" s="9"/>
      <c r="B66" s="5">
        <v>2.14</v>
      </c>
      <c r="C66" s="6" t="s">
        <v>20</v>
      </c>
      <c r="D66" s="7" t="s">
        <v>12</v>
      </c>
      <c r="E66" s="115"/>
      <c r="F66" s="115"/>
      <c r="G66" s="115"/>
      <c r="H66" s="239">
        <f t="shared" si="1"/>
        <v>0</v>
      </c>
      <c r="I66" s="240">
        <f>+H66*1</f>
        <v>0</v>
      </c>
      <c r="J66" s="146">
        <f>+G66*1</f>
        <v>0</v>
      </c>
    </row>
    <row r="67" spans="1:10" ht="76.5" hidden="1" customHeight="1"/>
    <row r="68" spans="1:10" ht="21.75" hidden="1">
      <c r="A68" s="3">
        <v>3</v>
      </c>
      <c r="B68" s="3" t="s">
        <v>38</v>
      </c>
      <c r="C68" s="1"/>
      <c r="D68" s="1"/>
      <c r="E68" s="1"/>
      <c r="F68" s="1"/>
      <c r="G68" s="1"/>
      <c r="H68" s="1"/>
    </row>
    <row r="69" spans="1:10" ht="21.75" hidden="1">
      <c r="A69" s="860" t="s">
        <v>4</v>
      </c>
      <c r="B69" s="860"/>
      <c r="C69" s="860"/>
      <c r="D69" s="860" t="s">
        <v>2</v>
      </c>
      <c r="E69" s="861" t="s">
        <v>0</v>
      </c>
      <c r="F69" s="861"/>
      <c r="G69" s="861"/>
      <c r="H69" s="861"/>
      <c r="I69" s="863" t="s">
        <v>21</v>
      </c>
    </row>
    <row r="70" spans="1:10" ht="21.75" hidden="1">
      <c r="A70" s="860"/>
      <c r="B70" s="860"/>
      <c r="C70" s="860"/>
      <c r="D70" s="860"/>
      <c r="E70" s="4">
        <v>2553</v>
      </c>
      <c r="F70" s="4">
        <v>2554</v>
      </c>
      <c r="G70" s="4">
        <v>2555</v>
      </c>
      <c r="H70" s="4" t="s">
        <v>1</v>
      </c>
      <c r="I70" s="864"/>
    </row>
    <row r="71" spans="1:10" ht="21.75" hidden="1">
      <c r="A71" s="11">
        <v>1</v>
      </c>
      <c r="B71" s="865" t="s">
        <v>26</v>
      </c>
      <c r="C71" s="866"/>
      <c r="D71" s="7" t="s">
        <v>3</v>
      </c>
      <c r="E71" s="111"/>
      <c r="F71" s="111"/>
      <c r="G71" s="111"/>
      <c r="H71" s="237">
        <f>SUM(E71:G71)</f>
        <v>0</v>
      </c>
      <c r="I71" s="238"/>
    </row>
    <row r="72" spans="1:10" ht="21.75" hidden="1">
      <c r="A72" s="10">
        <v>2</v>
      </c>
      <c r="B72" s="865" t="s">
        <v>11</v>
      </c>
      <c r="C72" s="866"/>
      <c r="D72" s="7" t="s">
        <v>12</v>
      </c>
      <c r="E72" s="235">
        <f>SUM(E73:E85)</f>
        <v>0</v>
      </c>
      <c r="F72" s="235">
        <f>SUM(F73:F85)</f>
        <v>0</v>
      </c>
      <c r="G72" s="235">
        <f>SUM(G73:G85)</f>
        <v>0</v>
      </c>
      <c r="H72" s="235">
        <f>SUM(E72:G72)</f>
        <v>0</v>
      </c>
      <c r="I72" s="236">
        <f>SUM(I73:I85)</f>
        <v>0</v>
      </c>
      <c r="J72" s="114">
        <f>SUM(J73:J85)</f>
        <v>0</v>
      </c>
    </row>
    <row r="73" spans="1:10" ht="43.5" hidden="1">
      <c r="A73" s="8"/>
      <c r="B73" s="5">
        <v>2.1</v>
      </c>
      <c r="C73" s="6" t="s">
        <v>13</v>
      </c>
      <c r="D73" s="7" t="s">
        <v>12</v>
      </c>
      <c r="E73" s="115"/>
      <c r="F73" s="115"/>
      <c r="G73" s="115"/>
      <c r="H73" s="239">
        <f>SUM(E73:G73)</f>
        <v>0</v>
      </c>
      <c r="I73" s="240">
        <f>+H73*0.25</f>
        <v>0</v>
      </c>
      <c r="J73" s="146">
        <f>+G73*0.25</f>
        <v>0</v>
      </c>
    </row>
    <row r="74" spans="1:10" ht="43.5" hidden="1">
      <c r="A74" s="8"/>
      <c r="B74" s="5">
        <v>2.2000000000000002</v>
      </c>
      <c r="C74" s="6" t="s">
        <v>15</v>
      </c>
      <c r="D74" s="7" t="s">
        <v>12</v>
      </c>
      <c r="E74" s="115"/>
      <c r="F74" s="115"/>
      <c r="G74" s="115"/>
      <c r="H74" s="239">
        <f t="shared" ref="H74:H85" si="2">SUM(E74:G74)</f>
        <v>0</v>
      </c>
      <c r="I74" s="240">
        <f>+H74*0.25</f>
        <v>0</v>
      </c>
      <c r="J74" s="146">
        <f>+G74*0.25</f>
        <v>0</v>
      </c>
    </row>
    <row r="75" spans="1:10" ht="65.25" hidden="1">
      <c r="A75" s="8"/>
      <c r="B75" s="5">
        <v>2.2999999999999998</v>
      </c>
      <c r="C75" s="6" t="s">
        <v>14</v>
      </c>
      <c r="D75" s="7" t="s">
        <v>12</v>
      </c>
      <c r="E75" s="115"/>
      <c r="F75" s="115"/>
      <c r="G75" s="115"/>
      <c r="H75" s="239">
        <f t="shared" si="2"/>
        <v>0</v>
      </c>
      <c r="I75" s="240">
        <f>+H75*0.25</f>
        <v>0</v>
      </c>
      <c r="J75" s="146">
        <f>+G75*0.25</f>
        <v>0</v>
      </c>
    </row>
    <row r="76" spans="1:10" ht="43.5" hidden="1">
      <c r="A76" s="8"/>
      <c r="B76" s="5">
        <v>2.4</v>
      </c>
      <c r="C76" s="6" t="s">
        <v>63</v>
      </c>
      <c r="D76" s="7" t="s">
        <v>12</v>
      </c>
      <c r="E76" s="115"/>
      <c r="F76" s="115"/>
      <c r="G76" s="115"/>
      <c r="H76" s="239">
        <f t="shared" si="2"/>
        <v>0</v>
      </c>
      <c r="I76" s="240">
        <f>+H76*0.5</f>
        <v>0</v>
      </c>
      <c r="J76" s="146">
        <f>+G76*0.5</f>
        <v>0</v>
      </c>
    </row>
    <row r="77" spans="1:10" ht="43.5" hidden="1">
      <c r="A77" s="8"/>
      <c r="B77" s="5">
        <v>2.5</v>
      </c>
      <c r="C77" s="6" t="s">
        <v>64</v>
      </c>
      <c r="D77" s="7" t="s">
        <v>12</v>
      </c>
      <c r="E77" s="115"/>
      <c r="F77" s="115"/>
      <c r="G77" s="115"/>
      <c r="H77" s="239">
        <f t="shared" si="2"/>
        <v>0</v>
      </c>
      <c r="I77" s="240">
        <f>+H77*0.75</f>
        <v>0</v>
      </c>
      <c r="J77" s="146">
        <f>+G77*0.75</f>
        <v>0</v>
      </c>
    </row>
    <row r="78" spans="1:10" ht="65.25" hidden="1">
      <c r="A78" s="8"/>
      <c r="B78" s="5">
        <v>2.6</v>
      </c>
      <c r="C78" s="372" t="s">
        <v>491</v>
      </c>
      <c r="D78" s="7" t="s">
        <v>12</v>
      </c>
      <c r="E78" s="115"/>
      <c r="F78" s="115"/>
      <c r="G78" s="115"/>
      <c r="H78" s="239">
        <f t="shared" si="2"/>
        <v>0</v>
      </c>
      <c r="I78" s="240">
        <f>+H78*1</f>
        <v>0</v>
      </c>
      <c r="J78" s="146">
        <f>+G78*1</f>
        <v>0</v>
      </c>
    </row>
    <row r="79" spans="1:10" ht="43.5" hidden="1">
      <c r="A79" s="8"/>
      <c r="B79" s="5">
        <v>2.7</v>
      </c>
      <c r="C79" s="372" t="s">
        <v>490</v>
      </c>
      <c r="D79" s="7" t="s">
        <v>12</v>
      </c>
      <c r="E79" s="115"/>
      <c r="F79" s="115"/>
      <c r="G79" s="115"/>
      <c r="H79" s="239">
        <f>SUM(E79:G79)</f>
        <v>0</v>
      </c>
      <c r="I79" s="240">
        <f>+H79*1</f>
        <v>0</v>
      </c>
      <c r="J79" s="146">
        <f>+G79*1</f>
        <v>0</v>
      </c>
    </row>
    <row r="80" spans="1:10" ht="43.5" hidden="1">
      <c r="A80" s="8"/>
      <c r="B80" s="5">
        <v>2.8</v>
      </c>
      <c r="C80" s="372" t="s">
        <v>485</v>
      </c>
      <c r="D80" s="7" t="s">
        <v>12</v>
      </c>
      <c r="E80" s="115"/>
      <c r="F80" s="115"/>
      <c r="G80" s="115"/>
      <c r="H80" s="239">
        <f>SUM(E80:G80)</f>
        <v>0</v>
      </c>
      <c r="I80" s="240">
        <f>+H80*1</f>
        <v>0</v>
      </c>
      <c r="J80" s="146">
        <f>+G80*1</f>
        <v>0</v>
      </c>
    </row>
    <row r="81" spans="1:10" ht="43.5" hidden="1">
      <c r="A81" s="8"/>
      <c r="B81" s="120">
        <v>2.9</v>
      </c>
      <c r="C81" s="6" t="s">
        <v>16</v>
      </c>
      <c r="D81" s="7" t="s">
        <v>12</v>
      </c>
      <c r="E81" s="115"/>
      <c r="F81" s="115"/>
      <c r="G81" s="115"/>
      <c r="H81" s="239">
        <f t="shared" si="2"/>
        <v>0</v>
      </c>
      <c r="I81" s="240">
        <f>+H81*0.125</f>
        <v>0</v>
      </c>
      <c r="J81" s="146">
        <f>+G81*0.125</f>
        <v>0</v>
      </c>
    </row>
    <row r="82" spans="1:10" ht="21.75" hidden="1">
      <c r="A82" s="8"/>
      <c r="B82" s="33">
        <v>2.1</v>
      </c>
      <c r="C82" s="6" t="s">
        <v>17</v>
      </c>
      <c r="D82" s="7" t="s">
        <v>12</v>
      </c>
      <c r="E82" s="115"/>
      <c r="F82" s="115"/>
      <c r="G82" s="115"/>
      <c r="H82" s="239">
        <f t="shared" si="2"/>
        <v>0</v>
      </c>
      <c r="I82" s="240">
        <f>+H82*0.25</f>
        <v>0</v>
      </c>
      <c r="J82" s="146">
        <f>+G82*0.25</f>
        <v>0</v>
      </c>
    </row>
    <row r="83" spans="1:10" ht="43.5" hidden="1">
      <c r="A83" s="8"/>
      <c r="B83" s="33">
        <v>2.11</v>
      </c>
      <c r="C83" s="6" t="s">
        <v>18</v>
      </c>
      <c r="D83" s="7" t="s">
        <v>12</v>
      </c>
      <c r="E83" s="115"/>
      <c r="F83" s="115"/>
      <c r="G83" s="115"/>
      <c r="H83" s="239">
        <f t="shared" si="2"/>
        <v>0</v>
      </c>
      <c r="I83" s="240">
        <f>+H83*0.5</f>
        <v>0</v>
      </c>
      <c r="J83" s="146">
        <f>+G83*0.5</f>
        <v>0</v>
      </c>
    </row>
    <row r="84" spans="1:10" ht="43.5" hidden="1">
      <c r="A84" s="8"/>
      <c r="B84" s="5">
        <v>2.12</v>
      </c>
      <c r="C84" s="6" t="s">
        <v>19</v>
      </c>
      <c r="D84" s="7" t="s">
        <v>12</v>
      </c>
      <c r="E84" s="115"/>
      <c r="F84" s="115"/>
      <c r="G84" s="115"/>
      <c r="H84" s="239">
        <f t="shared" si="2"/>
        <v>0</v>
      </c>
      <c r="I84" s="240">
        <f>+H84*0.75</f>
        <v>0</v>
      </c>
      <c r="J84" s="146">
        <f>+G84*0.75</f>
        <v>0</v>
      </c>
    </row>
    <row r="85" spans="1:10" ht="21.75" hidden="1">
      <c r="A85" s="9"/>
      <c r="B85" s="5">
        <v>2.13</v>
      </c>
      <c r="C85" s="6" t="s">
        <v>20</v>
      </c>
      <c r="D85" s="7" t="s">
        <v>12</v>
      </c>
      <c r="E85" s="115"/>
      <c r="F85" s="115"/>
      <c r="G85" s="115"/>
      <c r="H85" s="239">
        <f t="shared" si="2"/>
        <v>0</v>
      </c>
      <c r="I85" s="240">
        <f>+H85*1</f>
        <v>0</v>
      </c>
      <c r="J85" s="146">
        <f>+G85*1</f>
        <v>0</v>
      </c>
    </row>
    <row r="86" spans="1:10" hidden="1"/>
    <row r="87" spans="1:10" hidden="1"/>
  </sheetData>
  <mergeCells count="73">
    <mergeCell ref="Q21:R21"/>
    <mergeCell ref="S21:T21"/>
    <mergeCell ref="Q22:R22"/>
    <mergeCell ref="S22:T22"/>
    <mergeCell ref="Q23:R23"/>
    <mergeCell ref="S23:T23"/>
    <mergeCell ref="Q11:R11"/>
    <mergeCell ref="S11:T11"/>
    <mergeCell ref="Q12:R12"/>
    <mergeCell ref="S12:T20"/>
    <mergeCell ref="Q13:R13"/>
    <mergeCell ref="Q14:R14"/>
    <mergeCell ref="Q15:R15"/>
    <mergeCell ref="Q16:R16"/>
    <mergeCell ref="Q17:R17"/>
    <mergeCell ref="Q18:R18"/>
    <mergeCell ref="Q19:R19"/>
    <mergeCell ref="Q20:R20"/>
    <mergeCell ref="A9:G9"/>
    <mergeCell ref="A6:F7"/>
    <mergeCell ref="G6:H6"/>
    <mergeCell ref="A1:I1"/>
    <mergeCell ref="A2:I2"/>
    <mergeCell ref="A3:I3"/>
    <mergeCell ref="A4:I4"/>
    <mergeCell ref="B71:C71"/>
    <mergeCell ref="B72:C72"/>
    <mergeCell ref="B52:C52"/>
    <mergeCell ref="B53:C53"/>
    <mergeCell ref="A69:C70"/>
    <mergeCell ref="E69:H69"/>
    <mergeCell ref="I69:I70"/>
    <mergeCell ref="I31:I32"/>
    <mergeCell ref="B33:C33"/>
    <mergeCell ref="B34:C34"/>
    <mergeCell ref="D69:D70"/>
    <mergeCell ref="A48:C48"/>
    <mergeCell ref="C49:H49"/>
    <mergeCell ref="C50:H50"/>
    <mergeCell ref="C51:H51"/>
    <mergeCell ref="F22:G22"/>
    <mergeCell ref="F23:G23"/>
    <mergeCell ref="A31:C32"/>
    <mergeCell ref="D31:D32"/>
    <mergeCell ref="E31:H31"/>
    <mergeCell ref="A28:G28"/>
    <mergeCell ref="C25:E25"/>
    <mergeCell ref="C26:E26"/>
    <mergeCell ref="F24:I24"/>
    <mergeCell ref="F25:I25"/>
    <mergeCell ref="F26:I26"/>
    <mergeCell ref="B30:C30"/>
    <mergeCell ref="A11:D11"/>
    <mergeCell ref="F11:G11"/>
    <mergeCell ref="J21:L21"/>
    <mergeCell ref="B12:D12"/>
    <mergeCell ref="F12:G12"/>
    <mergeCell ref="F13:G13"/>
    <mergeCell ref="F14:G14"/>
    <mergeCell ref="F15:G15"/>
    <mergeCell ref="B16:D16"/>
    <mergeCell ref="F16:G16"/>
    <mergeCell ref="F17:G17"/>
    <mergeCell ref="F18:G18"/>
    <mergeCell ref="F19:G19"/>
    <mergeCell ref="B20:D20"/>
    <mergeCell ref="F20:G20"/>
    <mergeCell ref="F21:G21"/>
    <mergeCell ref="H11:I11"/>
    <mergeCell ref="H12:I20"/>
    <mergeCell ref="H21:I21"/>
    <mergeCell ref="H22:I22"/>
    <mergeCell ref="H23:I23"/>
  </mergeCells>
  <dataValidations count="3">
    <dataValidation type="list" errorStyle="information" allowBlank="1" showInputMessage="1" showErrorMessage="1" prompt="กรุณาเลือก" sqref="G6:H6">
      <formula1>$N$11:$N$15</formula1>
    </dataValidation>
    <dataValidation allowBlank="1" showInputMessage="1" showErrorMessage="1" prompt="กรุณาใส่คะแนนตามที่หน่วยงานรายงาน_x000a_" sqref="F26"/>
    <dataValidation allowBlank="1" showInputMessage="1" showErrorMessage="1" prompt="กรุณาใส่ผลการดำเนินงานตามรายงานของหน่วยงาน" sqref="F25"/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  <rowBreaks count="3" manualBreakCount="3">
    <brk id="27" max="16383" man="1"/>
    <brk id="47" max="15" man="1"/>
    <brk id="6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8"/>
  <sheetViews>
    <sheetView view="pageBreakPreview" zoomScaleNormal="80" zoomScaleSheetLayoutView="100" workbookViewId="0">
      <selection activeCell="R37" sqref="R37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8.7109375" customWidth="1"/>
    <col min="10" max="15" width="9.140625" hidden="1" customWidth="1"/>
    <col min="16" max="16" width="23.5703125" hidden="1" customWidth="1"/>
    <col min="17" max="26" width="9.140625" customWidth="1"/>
  </cols>
  <sheetData>
    <row r="1" spans="1:20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</row>
    <row r="6" spans="1:20" ht="21">
      <c r="A6" s="787" t="s">
        <v>249</v>
      </c>
      <c r="B6" s="787"/>
      <c r="C6" s="787"/>
      <c r="D6" s="787"/>
      <c r="E6" s="787"/>
      <c r="F6" s="787"/>
      <c r="G6" s="741" t="s">
        <v>61</v>
      </c>
      <c r="H6" s="741"/>
    </row>
    <row r="7" spans="1:20" ht="21" customHeight="1">
      <c r="A7" s="787"/>
      <c r="B7" s="787"/>
      <c r="C7" s="787"/>
      <c r="D7" s="787"/>
      <c r="E7" s="787"/>
      <c r="F7" s="787"/>
      <c r="G7" s="16"/>
      <c r="H7" s="16"/>
    </row>
    <row r="8" spans="1:20" ht="10.5" customHeight="1">
      <c r="A8" s="156"/>
      <c r="B8" s="156"/>
      <c r="C8" s="156"/>
      <c r="D8" s="156"/>
      <c r="E8" s="156"/>
      <c r="F8" s="156"/>
      <c r="G8" s="16"/>
      <c r="H8" s="16"/>
    </row>
    <row r="9" spans="1:20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0" ht="13.5" customHeight="1">
      <c r="A10" s="15"/>
      <c r="B10" s="14"/>
      <c r="C10" s="14"/>
      <c r="D10" s="13"/>
      <c r="E10" s="13"/>
      <c r="F10" s="13"/>
      <c r="G10" s="13"/>
      <c r="H10" s="13"/>
    </row>
    <row r="11" spans="1:20" ht="43.5" customHeight="1">
      <c r="A11" s="747" t="s">
        <v>931</v>
      </c>
      <c r="B11" s="748"/>
      <c r="C11" s="748"/>
      <c r="D11" s="749"/>
      <c r="E11" s="155" t="s">
        <v>8</v>
      </c>
      <c r="F11" s="750" t="s">
        <v>929</v>
      </c>
      <c r="G11" s="751"/>
      <c r="H11" s="831" t="s">
        <v>7</v>
      </c>
      <c r="I11" s="831"/>
      <c r="J11" s="48"/>
      <c r="N11" s="78"/>
      <c r="Q11" s="750" t="s">
        <v>605</v>
      </c>
      <c r="R11" s="751"/>
      <c r="S11" s="831" t="s">
        <v>7</v>
      </c>
      <c r="T11" s="831"/>
    </row>
    <row r="12" spans="1:20" ht="23.25">
      <c r="A12" s="20">
        <v>1</v>
      </c>
      <c r="B12" s="736" t="s">
        <v>26</v>
      </c>
      <c r="C12" s="736"/>
      <c r="D12" s="737"/>
      <c r="E12" s="241" t="s">
        <v>3</v>
      </c>
      <c r="F12" s="869">
        <f>G20</f>
        <v>0</v>
      </c>
      <c r="G12" s="869"/>
      <c r="H12" s="853" t="e">
        <f>IF(G6&lt;&gt;"ประเมิน",G6,IF(F14&gt;=20,5,IF(F14,(F14*5)/20,0)))</f>
        <v>#DIV/0!</v>
      </c>
      <c r="I12" s="853"/>
      <c r="N12" s="82" t="s">
        <v>61</v>
      </c>
      <c r="Q12" s="869">
        <f>H20</f>
        <v>0</v>
      </c>
      <c r="R12" s="869"/>
      <c r="S12" s="853" t="e">
        <f>IF(G6&lt;&gt;"ประเมิน",G6,IF(Q14&gt;=20,5,IF(Q14,(Q14*5)/20,0)))</f>
        <v>#DIV/0!</v>
      </c>
      <c r="T12" s="853"/>
    </row>
    <row r="13" spans="1:20" ht="27" customHeight="1">
      <c r="A13" s="20">
        <v>2</v>
      </c>
      <c r="B13" s="736" t="s">
        <v>251</v>
      </c>
      <c r="C13" s="736"/>
      <c r="D13" s="737"/>
      <c r="E13" s="241" t="s">
        <v>492</v>
      </c>
      <c r="F13" s="870">
        <f>G21</f>
        <v>0</v>
      </c>
      <c r="G13" s="870"/>
      <c r="H13" s="853"/>
      <c r="I13" s="853"/>
      <c r="Q13" s="870">
        <f>H21</f>
        <v>0</v>
      </c>
      <c r="R13" s="870"/>
      <c r="S13" s="853"/>
      <c r="T13" s="853"/>
    </row>
    <row r="14" spans="1:20" ht="44.25" customHeight="1">
      <c r="A14" s="20">
        <v>3</v>
      </c>
      <c r="B14" s="736" t="s">
        <v>252</v>
      </c>
      <c r="C14" s="736"/>
      <c r="D14" s="737"/>
      <c r="E14" s="241" t="s">
        <v>5</v>
      </c>
      <c r="F14" s="871" t="e">
        <f>+IF(G6&lt;&gt;"ประเมิน",G6,ROUND(F13/F12*100,2))</f>
        <v>#DIV/0!</v>
      </c>
      <c r="G14" s="871"/>
      <c r="H14" s="853"/>
      <c r="I14" s="853"/>
      <c r="L14" t="s">
        <v>38</v>
      </c>
      <c r="M14">
        <v>20</v>
      </c>
      <c r="Q14" s="871" t="e">
        <f>+IF(G6&lt;&gt;"ประเมิน",G6,ROUND(Q13/Q12*100,2))</f>
        <v>#DIV/0!</v>
      </c>
      <c r="R14" s="871"/>
      <c r="S14" s="853"/>
      <c r="T14" s="853"/>
    </row>
    <row r="15" spans="1:20" ht="44.25" customHeight="1">
      <c r="A15" s="40"/>
      <c r="B15" s="162"/>
      <c r="C15" s="154"/>
      <c r="D15" s="154"/>
      <c r="E15" s="226"/>
      <c r="F15" s="227"/>
      <c r="G15" s="227"/>
      <c r="H15" s="228"/>
      <c r="I15" s="228"/>
    </row>
    <row r="16" spans="1:20" ht="21.75">
      <c r="A16" s="874" t="s">
        <v>77</v>
      </c>
      <c r="B16" s="874"/>
      <c r="C16" s="874"/>
      <c r="D16" s="130"/>
      <c r="E16" s="108"/>
      <c r="F16" s="797"/>
      <c r="G16" s="797"/>
      <c r="H16" s="797"/>
      <c r="I16" s="797"/>
    </row>
    <row r="17" spans="1:9" ht="21.75">
      <c r="A17" s="877" t="s">
        <v>4</v>
      </c>
      <c r="B17" s="877"/>
      <c r="C17" s="877"/>
      <c r="D17" s="877" t="s">
        <v>2</v>
      </c>
      <c r="E17" s="878" t="s">
        <v>0</v>
      </c>
      <c r="F17" s="878"/>
      <c r="G17" s="878"/>
      <c r="H17" s="878"/>
      <c r="I17" s="163"/>
    </row>
    <row r="18" spans="1:9" ht="21.75">
      <c r="A18" s="877"/>
      <c r="B18" s="877"/>
      <c r="C18" s="877"/>
      <c r="D18" s="877"/>
      <c r="E18" s="167">
        <v>2554</v>
      </c>
      <c r="F18" s="167">
        <v>2555</v>
      </c>
      <c r="G18" s="167">
        <v>2556</v>
      </c>
      <c r="H18" s="167" t="s">
        <v>1</v>
      </c>
      <c r="I18" s="163"/>
    </row>
    <row r="19" spans="1:9" ht="25.5" customHeight="1">
      <c r="A19" s="879" t="s">
        <v>242</v>
      </c>
      <c r="B19" s="880"/>
      <c r="C19" s="880"/>
      <c r="D19" s="880"/>
      <c r="E19" s="880"/>
      <c r="F19" s="880"/>
      <c r="G19" s="880"/>
      <c r="H19" s="881"/>
    </row>
    <row r="20" spans="1:9" ht="21">
      <c r="A20" s="215">
        <v>1</v>
      </c>
      <c r="B20" s="875" t="s">
        <v>26</v>
      </c>
      <c r="C20" s="876"/>
      <c r="D20" s="216" t="s">
        <v>3</v>
      </c>
      <c r="E20" s="217">
        <f>'4-5'!E33</f>
        <v>0</v>
      </c>
      <c r="F20" s="217">
        <f>'4-5'!F33</f>
        <v>0</v>
      </c>
      <c r="G20" s="217">
        <f>'4-5'!G33</f>
        <v>0</v>
      </c>
      <c r="H20" s="218">
        <f t="shared" ref="H20:H26" si="0">SUM(E20:G20)</f>
        <v>0</v>
      </c>
    </row>
    <row r="21" spans="1:9" ht="21" customHeight="1">
      <c r="A21" s="219">
        <v>2</v>
      </c>
      <c r="B21" s="875" t="s">
        <v>243</v>
      </c>
      <c r="C21" s="876"/>
      <c r="D21" s="216" t="s">
        <v>12</v>
      </c>
      <c r="E21" s="172">
        <f>SUM(E22,E27)</f>
        <v>0</v>
      </c>
      <c r="F21" s="172">
        <f t="shared" ref="F21:H21" si="1">SUM(F22,F27)</f>
        <v>0</v>
      </c>
      <c r="G21" s="172">
        <f t="shared" si="1"/>
        <v>0</v>
      </c>
      <c r="H21" s="172">
        <f t="shared" si="1"/>
        <v>0</v>
      </c>
    </row>
    <row r="22" spans="1:9" ht="21" customHeight="1">
      <c r="A22" s="595"/>
      <c r="B22" s="867" t="s">
        <v>934</v>
      </c>
      <c r="C22" s="868"/>
      <c r="D22" s="596"/>
      <c r="E22" s="597">
        <f>SUM(E23:E26)</f>
        <v>0</v>
      </c>
      <c r="F22" s="597">
        <f t="shared" ref="F22:H22" si="2">SUM(F23:F26)</f>
        <v>0</v>
      </c>
      <c r="G22" s="597">
        <f t="shared" si="2"/>
        <v>0</v>
      </c>
      <c r="H22" s="597">
        <f t="shared" si="2"/>
        <v>0</v>
      </c>
    </row>
    <row r="23" spans="1:9" ht="21" customHeight="1">
      <c r="A23" s="220"/>
      <c r="B23" s="221">
        <v>2.1</v>
      </c>
      <c r="C23" s="222" t="s">
        <v>244</v>
      </c>
      <c r="D23" s="216" t="s">
        <v>12</v>
      </c>
      <c r="E23" s="184">
        <v>0</v>
      </c>
      <c r="F23" s="184">
        <v>0</v>
      </c>
      <c r="G23" s="184">
        <v>0</v>
      </c>
      <c r="H23" s="172">
        <f t="shared" si="0"/>
        <v>0</v>
      </c>
    </row>
    <row r="24" spans="1:9" ht="21">
      <c r="A24" s="220"/>
      <c r="B24" s="221">
        <v>2.2000000000000002</v>
      </c>
      <c r="C24" s="222" t="s">
        <v>245</v>
      </c>
      <c r="D24" s="216" t="s">
        <v>12</v>
      </c>
      <c r="E24" s="184">
        <v>0</v>
      </c>
      <c r="F24" s="184">
        <v>0</v>
      </c>
      <c r="G24" s="184">
        <v>0</v>
      </c>
      <c r="H24" s="172">
        <f t="shared" si="0"/>
        <v>0</v>
      </c>
    </row>
    <row r="25" spans="1:9" ht="21">
      <c r="A25" s="220"/>
      <c r="B25" s="221">
        <v>2.2999999999999998</v>
      </c>
      <c r="C25" s="222" t="s">
        <v>246</v>
      </c>
      <c r="D25" s="216" t="s">
        <v>12</v>
      </c>
      <c r="E25" s="184">
        <v>0</v>
      </c>
      <c r="F25" s="184">
        <v>0</v>
      </c>
      <c r="G25" s="184">
        <v>0</v>
      </c>
      <c r="H25" s="172">
        <f t="shared" si="0"/>
        <v>0</v>
      </c>
    </row>
    <row r="26" spans="1:9" ht="21">
      <c r="A26" s="223"/>
      <c r="B26" s="221">
        <v>2.4</v>
      </c>
      <c r="C26" s="590" t="s">
        <v>936</v>
      </c>
      <c r="D26" s="216" t="s">
        <v>12</v>
      </c>
      <c r="E26" s="184">
        <v>0</v>
      </c>
      <c r="F26" s="184">
        <v>0</v>
      </c>
      <c r="G26" s="184">
        <v>0</v>
      </c>
      <c r="H26" s="172">
        <f t="shared" si="0"/>
        <v>0</v>
      </c>
    </row>
    <row r="27" spans="1:9" ht="21">
      <c r="A27" s="220"/>
      <c r="B27" s="867" t="s">
        <v>935</v>
      </c>
      <c r="C27" s="868"/>
      <c r="D27" s="596"/>
      <c r="E27" s="598">
        <f>SUM(E28:E31)</f>
        <v>0</v>
      </c>
      <c r="F27" s="598">
        <f t="shared" ref="F27:H27" si="3">SUM(F28:F31)</f>
        <v>0</v>
      </c>
      <c r="G27" s="598">
        <f t="shared" si="3"/>
        <v>0</v>
      </c>
      <c r="H27" s="598">
        <f t="shared" si="3"/>
        <v>0</v>
      </c>
    </row>
    <row r="28" spans="1:9" ht="21" customHeight="1">
      <c r="A28" s="220"/>
      <c r="B28" s="589">
        <v>2.1</v>
      </c>
      <c r="C28" s="590" t="s">
        <v>244</v>
      </c>
      <c r="D28" s="216" t="s">
        <v>12</v>
      </c>
      <c r="E28" s="184">
        <v>0</v>
      </c>
      <c r="F28" s="184">
        <v>0</v>
      </c>
      <c r="G28" s="184">
        <v>0</v>
      </c>
      <c r="H28" s="172">
        <f t="shared" ref="H28:H31" si="4">SUM(E28:G28)</f>
        <v>0</v>
      </c>
    </row>
    <row r="29" spans="1:9" ht="21">
      <c r="A29" s="220"/>
      <c r="B29" s="589">
        <v>2.2000000000000002</v>
      </c>
      <c r="C29" s="590" t="s">
        <v>245</v>
      </c>
      <c r="D29" s="216" t="s">
        <v>12</v>
      </c>
      <c r="E29" s="184">
        <v>0</v>
      </c>
      <c r="F29" s="184">
        <v>0</v>
      </c>
      <c r="G29" s="184">
        <v>0</v>
      </c>
      <c r="H29" s="172">
        <f t="shared" si="4"/>
        <v>0</v>
      </c>
    </row>
    <row r="30" spans="1:9" ht="21">
      <c r="A30" s="220"/>
      <c r="B30" s="589">
        <v>2.2999999999999998</v>
      </c>
      <c r="C30" s="590" t="s">
        <v>246</v>
      </c>
      <c r="D30" s="216" t="s">
        <v>12</v>
      </c>
      <c r="E30" s="184">
        <v>0</v>
      </c>
      <c r="F30" s="184">
        <v>0</v>
      </c>
      <c r="G30" s="184">
        <v>0</v>
      </c>
      <c r="H30" s="172">
        <f t="shared" si="4"/>
        <v>0</v>
      </c>
    </row>
    <row r="31" spans="1:9" ht="21">
      <c r="A31" s="223"/>
      <c r="B31" s="589">
        <v>2.4</v>
      </c>
      <c r="C31" s="590" t="s">
        <v>247</v>
      </c>
      <c r="D31" s="216" t="s">
        <v>12</v>
      </c>
      <c r="E31" s="184">
        <v>0</v>
      </c>
      <c r="F31" s="184">
        <v>0</v>
      </c>
      <c r="G31" s="184">
        <v>0</v>
      </c>
      <c r="H31" s="172">
        <f t="shared" si="4"/>
        <v>0</v>
      </c>
    </row>
    <row r="32" spans="1:9" ht="21">
      <c r="A32" s="224">
        <v>3</v>
      </c>
      <c r="B32" s="872" t="s">
        <v>248</v>
      </c>
      <c r="C32" s="873"/>
      <c r="D32" s="225" t="s">
        <v>12</v>
      </c>
      <c r="E32" s="194" t="e">
        <f>E21*100/E20</f>
        <v>#DIV/0!</v>
      </c>
      <c r="F32" s="194" t="e">
        <f t="shared" ref="F32:H32" si="5">F21*100/F20</f>
        <v>#DIV/0!</v>
      </c>
      <c r="G32" s="194" t="e">
        <f t="shared" si="5"/>
        <v>#DIV/0!</v>
      </c>
      <c r="H32" s="172" t="e">
        <f t="shared" si="5"/>
        <v>#DIV/0!</v>
      </c>
    </row>
    <row r="33" spans="1:8" ht="21" customHeight="1">
      <c r="B33" s="40"/>
      <c r="C33" s="849"/>
      <c r="D33" s="849"/>
      <c r="E33" s="849"/>
      <c r="F33" s="163"/>
      <c r="G33" s="163"/>
      <c r="H33" s="163"/>
    </row>
    <row r="34" spans="1:8" ht="21.75">
      <c r="A34" s="40"/>
      <c r="B34" s="40"/>
      <c r="C34" s="849"/>
      <c r="D34" s="849"/>
      <c r="E34" s="849"/>
      <c r="F34" s="163"/>
      <c r="G34" s="163"/>
      <c r="H34" s="163"/>
    </row>
    <row r="35" spans="1:8" ht="21.75">
      <c r="A35" s="740" t="s">
        <v>951</v>
      </c>
      <c r="B35" s="740"/>
      <c r="C35" s="740"/>
      <c r="D35" s="37"/>
      <c r="E35" s="38"/>
      <c r="F35" s="38"/>
      <c r="G35" s="38"/>
      <c r="H35" s="39"/>
    </row>
    <row r="36" spans="1:8" ht="18" customHeight="1">
      <c r="A36" s="40"/>
      <c r="B36" s="42"/>
      <c r="C36" s="755">
        <v>1</v>
      </c>
      <c r="D36" s="755"/>
      <c r="E36" s="755"/>
      <c r="F36" s="755"/>
      <c r="G36" s="755"/>
      <c r="H36" s="755"/>
    </row>
    <row r="37" spans="1:8" ht="21.75">
      <c r="A37" s="35"/>
      <c r="B37" s="41"/>
      <c r="C37" s="755">
        <v>2</v>
      </c>
      <c r="D37" s="755"/>
      <c r="E37" s="755"/>
      <c r="F37" s="755"/>
      <c r="G37" s="755"/>
      <c r="H37" s="755"/>
    </row>
    <row r="38" spans="1:8" ht="21.75">
      <c r="A38" s="35"/>
      <c r="B38" s="41"/>
      <c r="C38" s="755">
        <v>3</v>
      </c>
      <c r="D38" s="755"/>
      <c r="E38" s="755"/>
      <c r="F38" s="755"/>
      <c r="G38" s="755"/>
      <c r="H38" s="755"/>
    </row>
  </sheetData>
  <mergeCells count="40">
    <mergeCell ref="S11:T11"/>
    <mergeCell ref="Q12:R12"/>
    <mergeCell ref="S12:T14"/>
    <mergeCell ref="Q13:R13"/>
    <mergeCell ref="Q14:R14"/>
    <mergeCell ref="A35:C35"/>
    <mergeCell ref="C36:H36"/>
    <mergeCell ref="C37:H37"/>
    <mergeCell ref="C38:H38"/>
    <mergeCell ref="Q11:R11"/>
    <mergeCell ref="B32:C32"/>
    <mergeCell ref="F16:I16"/>
    <mergeCell ref="C33:E33"/>
    <mergeCell ref="C34:E34"/>
    <mergeCell ref="A16:C16"/>
    <mergeCell ref="B21:C21"/>
    <mergeCell ref="A17:C18"/>
    <mergeCell ref="D17:D18"/>
    <mergeCell ref="E17:H17"/>
    <mergeCell ref="A19:H19"/>
    <mergeCell ref="B20:C20"/>
    <mergeCell ref="A1:I1"/>
    <mergeCell ref="A2:I2"/>
    <mergeCell ref="A3:I3"/>
    <mergeCell ref="A4:I4"/>
    <mergeCell ref="A6:F7"/>
    <mergeCell ref="G6:H6"/>
    <mergeCell ref="H11:I11"/>
    <mergeCell ref="B12:D12"/>
    <mergeCell ref="F12:G12"/>
    <mergeCell ref="H12:I14"/>
    <mergeCell ref="B13:D13"/>
    <mergeCell ref="F13:G13"/>
    <mergeCell ref="B14:D14"/>
    <mergeCell ref="F14:G14"/>
    <mergeCell ref="B22:C22"/>
    <mergeCell ref="B27:C27"/>
    <mergeCell ref="A9:G9"/>
    <mergeCell ref="A11:D11"/>
    <mergeCell ref="F11:G11"/>
  </mergeCells>
  <dataValidations count="3">
    <dataValidation allowBlank="1" showInputMessage="1" showErrorMessage="1" prompt="กรุณาใส่ผลการดำเนินงานตามรายงานของหน่วยงาน" sqref="F33"/>
    <dataValidation allowBlank="1" showInputMessage="1" showErrorMessage="1" prompt="กรุณาใส่คะแนนตามที่หน่วยงานรายงาน_x000a_" sqref="F34"/>
    <dataValidation type="list" errorStyle="information" allowBlank="1" showInputMessage="1" showErrorMessage="1" prompt="กรุณาเลือก" sqref="G6:H6">
      <formula1>$N$11:$N$12</formula1>
    </dataValidation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  <rowBreaks count="1" manualBreakCount="1">
    <brk id="34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T37"/>
  <sheetViews>
    <sheetView view="pageBreakPreview" zoomScaleNormal="80" zoomScaleSheetLayoutView="100" workbookViewId="0">
      <selection activeCell="A2" sqref="A2:I3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8.7109375" customWidth="1"/>
    <col min="10" max="15" width="9.140625" hidden="1" customWidth="1"/>
    <col min="16" max="16" width="23.5703125" hidden="1" customWidth="1"/>
    <col min="17" max="17" width="9.140625" customWidth="1"/>
    <col min="18" max="18" width="8.85546875" customWidth="1"/>
    <col min="19" max="19" width="0.28515625" hidden="1" customWidth="1"/>
    <col min="20" max="26" width="9.140625" customWidth="1"/>
  </cols>
  <sheetData>
    <row r="1" spans="1:20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</row>
    <row r="6" spans="1:20" ht="21">
      <c r="A6" s="787" t="s">
        <v>263</v>
      </c>
      <c r="B6" s="787"/>
      <c r="C6" s="787"/>
      <c r="D6" s="787"/>
      <c r="E6" s="787"/>
      <c r="F6" s="787"/>
      <c r="G6" s="741" t="s">
        <v>61</v>
      </c>
      <c r="H6" s="741"/>
    </row>
    <row r="7" spans="1:20" ht="21" customHeight="1">
      <c r="A7" s="787"/>
      <c r="B7" s="787"/>
      <c r="C7" s="787"/>
      <c r="D7" s="787"/>
      <c r="E7" s="787"/>
      <c r="F7" s="787"/>
      <c r="G7" s="16"/>
      <c r="H7" s="16"/>
    </row>
    <row r="8" spans="1:20" ht="10.5" customHeight="1">
      <c r="A8" s="156"/>
      <c r="B8" s="156"/>
      <c r="C8" s="156"/>
      <c r="D8" s="156"/>
      <c r="E8" s="156"/>
      <c r="F8" s="156"/>
      <c r="G8" s="16"/>
      <c r="H8" s="16"/>
    </row>
    <row r="9" spans="1:20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0" ht="13.5" customHeight="1">
      <c r="A10" s="15"/>
      <c r="B10" s="14"/>
      <c r="C10" s="14"/>
      <c r="D10" s="13"/>
      <c r="E10" s="13"/>
      <c r="F10" s="13"/>
      <c r="G10" s="13"/>
      <c r="H10" s="13"/>
    </row>
    <row r="11" spans="1:20" ht="43.5" customHeight="1">
      <c r="A11" s="747" t="s">
        <v>931</v>
      </c>
      <c r="B11" s="748"/>
      <c r="C11" s="748"/>
      <c r="D11" s="749"/>
      <c r="E11" s="155" t="s">
        <v>8</v>
      </c>
      <c r="F11" s="750" t="s">
        <v>929</v>
      </c>
      <c r="G11" s="751"/>
      <c r="H11" s="831" t="s">
        <v>7</v>
      </c>
      <c r="I11" s="831"/>
      <c r="J11" s="48"/>
      <c r="N11" s="78"/>
      <c r="Q11" s="750" t="s">
        <v>605</v>
      </c>
      <c r="R11" s="751"/>
      <c r="S11" s="831" t="s">
        <v>7</v>
      </c>
      <c r="T11" s="831"/>
    </row>
    <row r="12" spans="1:20" ht="23.25">
      <c r="A12" s="20">
        <v>1</v>
      </c>
      <c r="B12" s="736" t="s">
        <v>26</v>
      </c>
      <c r="C12" s="736"/>
      <c r="D12" s="737"/>
      <c r="E12" s="241" t="s">
        <v>3</v>
      </c>
      <c r="F12" s="869">
        <f>G20</f>
        <v>0</v>
      </c>
      <c r="G12" s="869"/>
      <c r="H12" s="853" t="e">
        <f>IF(G6&lt;&gt;"ประเมิน",G6,IF(F14&gt;=10,5,IF(F14,(F14*5)/10,0)))</f>
        <v>#DIV/0!</v>
      </c>
      <c r="I12" s="853"/>
      <c r="N12" s="82" t="s">
        <v>61</v>
      </c>
      <c r="Q12" s="869">
        <f>H20</f>
        <v>0</v>
      </c>
      <c r="R12" s="869"/>
      <c r="S12" s="853" t="e">
        <f>IF(G6&lt;&gt;"ประเมิน",G6,IF(Q14&gt;=10,5,IF(Q14,(Q14*5)/10,0)))</f>
        <v>#DIV/0!</v>
      </c>
      <c r="T12" s="853"/>
    </row>
    <row r="13" spans="1:20" ht="40.5" customHeight="1">
      <c r="A13" s="20">
        <v>2</v>
      </c>
      <c r="B13" s="736" t="s">
        <v>265</v>
      </c>
      <c r="C13" s="736"/>
      <c r="D13" s="737"/>
      <c r="E13" s="390" t="s">
        <v>487</v>
      </c>
      <c r="F13" s="882">
        <f>G30</f>
        <v>0</v>
      </c>
      <c r="G13" s="882"/>
      <c r="H13" s="853"/>
      <c r="I13" s="853"/>
      <c r="Q13" s="882">
        <f>I21</f>
        <v>0</v>
      </c>
      <c r="R13" s="882"/>
      <c r="S13" s="853"/>
      <c r="T13" s="853"/>
    </row>
    <row r="14" spans="1:20" ht="24.75" customHeight="1">
      <c r="A14" s="20">
        <v>3</v>
      </c>
      <c r="B14" s="736" t="s">
        <v>264</v>
      </c>
      <c r="C14" s="736"/>
      <c r="D14" s="737"/>
      <c r="E14" s="241" t="s">
        <v>5</v>
      </c>
      <c r="F14" s="871" t="e">
        <f>+IF(G6&lt;&gt;"ประเมิน",G6,ROUND(F13/F12*100,2))</f>
        <v>#DIV/0!</v>
      </c>
      <c r="G14" s="871"/>
      <c r="H14" s="853"/>
      <c r="I14" s="853"/>
      <c r="L14" t="s">
        <v>38</v>
      </c>
      <c r="M14">
        <v>20</v>
      </c>
      <c r="Q14" s="871" t="e">
        <f>+IF(G6&lt;&gt;"ประเมิน",G6,ROUND(Q13/Q12*100,2))</f>
        <v>#DIV/0!</v>
      </c>
      <c r="R14" s="871"/>
      <c r="S14" s="853"/>
      <c r="T14" s="853"/>
    </row>
    <row r="15" spans="1:20" ht="18.75" customHeight="1">
      <c r="A15" s="40"/>
      <c r="B15" s="162"/>
      <c r="C15" s="154"/>
      <c r="D15" s="154"/>
      <c r="E15" s="226"/>
      <c r="F15" s="227"/>
      <c r="G15" s="227"/>
      <c r="H15" s="228"/>
      <c r="I15" s="228"/>
    </row>
    <row r="16" spans="1:20" ht="21.75">
      <c r="A16" s="883" t="s">
        <v>77</v>
      </c>
      <c r="B16" s="883"/>
      <c r="C16" s="883"/>
      <c r="D16" s="130"/>
      <c r="E16" s="108"/>
      <c r="F16" s="797"/>
      <c r="G16" s="797"/>
      <c r="H16" s="797"/>
      <c r="I16" s="797"/>
    </row>
    <row r="17" spans="1:19" ht="21">
      <c r="A17" s="877" t="s">
        <v>4</v>
      </c>
      <c r="B17" s="877"/>
      <c r="C17" s="877"/>
      <c r="D17" s="877" t="s">
        <v>2</v>
      </c>
      <c r="E17" s="878" t="s">
        <v>0</v>
      </c>
      <c r="F17" s="878"/>
      <c r="G17" s="878"/>
      <c r="H17" s="878"/>
      <c r="I17" s="234"/>
    </row>
    <row r="18" spans="1:19" ht="21">
      <c r="A18" s="877"/>
      <c r="B18" s="877"/>
      <c r="C18" s="877"/>
      <c r="D18" s="877"/>
      <c r="E18" s="167">
        <v>2554</v>
      </c>
      <c r="F18" s="167">
        <v>2555</v>
      </c>
      <c r="G18" s="167">
        <v>2556</v>
      </c>
      <c r="H18" s="167" t="s">
        <v>1</v>
      </c>
      <c r="I18" s="229"/>
    </row>
    <row r="19" spans="1:19" ht="25.5" customHeight="1">
      <c r="A19" s="879" t="s">
        <v>253</v>
      </c>
      <c r="B19" s="880"/>
      <c r="C19" s="880"/>
      <c r="D19" s="880"/>
      <c r="E19" s="880"/>
      <c r="F19" s="880"/>
      <c r="G19" s="880"/>
      <c r="H19" s="881"/>
      <c r="I19" s="230"/>
    </row>
    <row r="20" spans="1:19" ht="21">
      <c r="A20" s="215">
        <v>1</v>
      </c>
      <c r="B20" s="875" t="s">
        <v>26</v>
      </c>
      <c r="C20" s="876"/>
      <c r="D20" s="216" t="s">
        <v>3</v>
      </c>
      <c r="E20" s="217">
        <f>'4-5'!E33</f>
        <v>0</v>
      </c>
      <c r="F20" s="217">
        <f>'4-5'!F33</f>
        <v>0</v>
      </c>
      <c r="G20" s="217">
        <f>'4-5'!G33</f>
        <v>0</v>
      </c>
      <c r="H20" s="218">
        <f>SUM(E20:G20)</f>
        <v>0</v>
      </c>
      <c r="I20" s="231"/>
      <c r="Q20" s="253"/>
    </row>
    <row r="21" spans="1:19" ht="21" customHeight="1">
      <c r="A21" s="215">
        <v>2</v>
      </c>
      <c r="B21" s="875" t="s">
        <v>254</v>
      </c>
      <c r="C21" s="876"/>
      <c r="D21" s="216" t="s">
        <v>12</v>
      </c>
      <c r="E21" s="172">
        <f>SUM(E22:E29)</f>
        <v>0</v>
      </c>
      <c r="F21" s="172">
        <f>SUM(F22:F29)</f>
        <v>0</v>
      </c>
      <c r="G21" s="172">
        <f>SUM(G22:G29)</f>
        <v>0</v>
      </c>
      <c r="H21" s="172">
        <f>SUM(E21:G21)</f>
        <v>0</v>
      </c>
      <c r="I21" s="194">
        <f>SUM(I22:I29)</f>
        <v>0</v>
      </c>
      <c r="Q21" s="254"/>
      <c r="S21" s="194" t="s">
        <v>266</v>
      </c>
    </row>
    <row r="22" spans="1:19" ht="21" customHeight="1">
      <c r="A22" s="389"/>
      <c r="B22" s="221">
        <v>2.1</v>
      </c>
      <c r="C22" s="222" t="s">
        <v>255</v>
      </c>
      <c r="D22" s="216" t="s">
        <v>12</v>
      </c>
      <c r="E22" s="184">
        <v>0</v>
      </c>
      <c r="F22" s="184">
        <v>0</v>
      </c>
      <c r="G22" s="184">
        <v>0</v>
      </c>
      <c r="H22" s="172">
        <f t="shared" ref="H22:H28" si="0">SUM(E22:G22)</f>
        <v>0</v>
      </c>
      <c r="I22" s="232">
        <f>+H22*0.25</f>
        <v>0</v>
      </c>
      <c r="Q22" s="255"/>
      <c r="S22" s="232">
        <v>0.25</v>
      </c>
    </row>
    <row r="23" spans="1:19" ht="42">
      <c r="A23" s="389"/>
      <c r="B23" s="221">
        <v>2.2000000000000002</v>
      </c>
      <c r="C23" s="222" t="s">
        <v>256</v>
      </c>
      <c r="D23" s="216" t="s">
        <v>12</v>
      </c>
      <c r="E23" s="184">
        <v>0</v>
      </c>
      <c r="F23" s="184">
        <v>0</v>
      </c>
      <c r="G23" s="184">
        <v>0</v>
      </c>
      <c r="H23" s="172">
        <f t="shared" si="0"/>
        <v>0</v>
      </c>
      <c r="I23" s="194">
        <f>+H23*0.5</f>
        <v>0</v>
      </c>
      <c r="Q23" s="254"/>
      <c r="S23" s="194">
        <v>0.5</v>
      </c>
    </row>
    <row r="24" spans="1:19" ht="42">
      <c r="A24" s="389"/>
      <c r="B24" s="221">
        <v>2.2999999999999998</v>
      </c>
      <c r="C24" s="222" t="s">
        <v>257</v>
      </c>
      <c r="D24" s="216" t="s">
        <v>12</v>
      </c>
      <c r="E24" s="184">
        <v>0</v>
      </c>
      <c r="F24" s="184">
        <v>0</v>
      </c>
      <c r="G24" s="184">
        <v>0</v>
      </c>
      <c r="H24" s="172">
        <f t="shared" si="0"/>
        <v>0</v>
      </c>
      <c r="I24" s="194">
        <f>+H24*0.75</f>
        <v>0</v>
      </c>
      <c r="Q24" s="254"/>
      <c r="S24" s="194">
        <v>0.75</v>
      </c>
    </row>
    <row r="25" spans="1:19" ht="42">
      <c r="A25" s="389"/>
      <c r="B25" s="221">
        <v>2.4</v>
      </c>
      <c r="C25" s="222" t="s">
        <v>258</v>
      </c>
      <c r="D25" s="216" t="s">
        <v>12</v>
      </c>
      <c r="E25" s="184">
        <v>0</v>
      </c>
      <c r="F25" s="184">
        <v>0</v>
      </c>
      <c r="G25" s="184">
        <v>0</v>
      </c>
      <c r="H25" s="172">
        <f>SUM(E25:G25)</f>
        <v>0</v>
      </c>
      <c r="I25" s="194">
        <f>+H25*0.75</f>
        <v>0</v>
      </c>
      <c r="Q25" s="254"/>
      <c r="S25" s="194">
        <v>0.75</v>
      </c>
    </row>
    <row r="26" spans="1:19" ht="42">
      <c r="A26" s="389"/>
      <c r="B26" s="221">
        <v>2.5</v>
      </c>
      <c r="C26" s="222" t="s">
        <v>259</v>
      </c>
      <c r="D26" s="216" t="s">
        <v>12</v>
      </c>
      <c r="E26" s="184">
        <v>0</v>
      </c>
      <c r="F26" s="184">
        <v>0</v>
      </c>
      <c r="G26" s="184">
        <v>0</v>
      </c>
      <c r="H26" s="172">
        <f t="shared" si="0"/>
        <v>0</v>
      </c>
      <c r="I26" s="194">
        <f>+H26*1</f>
        <v>0</v>
      </c>
      <c r="Q26" s="254"/>
      <c r="S26" s="194">
        <v>1</v>
      </c>
    </row>
    <row r="27" spans="1:19" ht="21" customHeight="1">
      <c r="A27" s="389"/>
      <c r="B27" s="221">
        <v>2.6</v>
      </c>
      <c r="C27" s="222" t="s">
        <v>260</v>
      </c>
      <c r="D27" s="216" t="s">
        <v>12</v>
      </c>
      <c r="E27" s="184">
        <v>0</v>
      </c>
      <c r="F27" s="184">
        <v>0</v>
      </c>
      <c r="G27" s="184">
        <v>0</v>
      </c>
      <c r="H27" s="172">
        <f t="shared" si="0"/>
        <v>0</v>
      </c>
      <c r="I27" s="194">
        <f>+H27*1</f>
        <v>0</v>
      </c>
      <c r="Q27" s="254"/>
      <c r="S27" s="194">
        <v>1</v>
      </c>
    </row>
    <row r="28" spans="1:19" ht="42">
      <c r="A28" s="389"/>
      <c r="B28" s="221">
        <v>2.7</v>
      </c>
      <c r="C28" s="222" t="s">
        <v>261</v>
      </c>
      <c r="D28" s="216" t="s">
        <v>12</v>
      </c>
      <c r="E28" s="184">
        <v>0</v>
      </c>
      <c r="F28" s="184">
        <v>0</v>
      </c>
      <c r="G28" s="184">
        <v>0</v>
      </c>
      <c r="H28" s="172">
        <f t="shared" si="0"/>
        <v>0</v>
      </c>
      <c r="I28" s="194">
        <f>+H28*1</f>
        <v>0</v>
      </c>
      <c r="Q28" s="254"/>
      <c r="S28" s="194">
        <v>1</v>
      </c>
    </row>
    <row r="29" spans="1:19" ht="42">
      <c r="A29" s="389"/>
      <c r="B29" s="221">
        <v>2.8</v>
      </c>
      <c r="C29" s="222" t="s">
        <v>262</v>
      </c>
      <c r="D29" s="216" t="s">
        <v>12</v>
      </c>
      <c r="E29" s="184">
        <v>0</v>
      </c>
      <c r="F29" s="184">
        <v>0</v>
      </c>
      <c r="G29" s="184">
        <v>0</v>
      </c>
      <c r="H29" s="172">
        <f>SUM(E29:G29)</f>
        <v>0</v>
      </c>
      <c r="I29" s="194">
        <f>+H29*1</f>
        <v>0</v>
      </c>
      <c r="Q29" s="254"/>
      <c r="S29" s="194">
        <v>1</v>
      </c>
    </row>
    <row r="30" spans="1:19" ht="21">
      <c r="A30" s="224">
        <v>3</v>
      </c>
      <c r="B30" s="872" t="s">
        <v>265</v>
      </c>
      <c r="C30" s="873"/>
      <c r="D30" s="391" t="s">
        <v>487</v>
      </c>
      <c r="E30" s="194">
        <f>((E22*$S22)+(E23*$S23)+(E24*$S24)+(E25*$S25)+(E26*$S26)+(E27*$S27)+(E28*$S28)+(E29*$S29))</f>
        <v>0</v>
      </c>
      <c r="F30" s="194">
        <f t="shared" ref="F30:H30" si="1">((F22*$S22)+(F23*$S23)+(F24*$S24)+(F25*$S25)+(F26*$S26)+(F27*$S27)+(F28*$S28)+(F29*$S29))</f>
        <v>0</v>
      </c>
      <c r="G30" s="194">
        <f t="shared" si="1"/>
        <v>0</v>
      </c>
      <c r="H30" s="194">
        <f t="shared" si="1"/>
        <v>0</v>
      </c>
      <c r="I30" s="233"/>
    </row>
    <row r="31" spans="1:19" ht="21">
      <c r="A31" s="224">
        <v>4</v>
      </c>
      <c r="B31" s="872" t="s">
        <v>264</v>
      </c>
      <c r="C31" s="873"/>
      <c r="D31" s="225" t="s">
        <v>5</v>
      </c>
      <c r="E31" s="172" t="e">
        <f>E30*100/E20</f>
        <v>#DIV/0!</v>
      </c>
      <c r="F31" s="194" t="e">
        <f t="shared" ref="F31:H31" si="2">F30*100/F20</f>
        <v>#DIV/0!</v>
      </c>
      <c r="G31" s="194" t="e">
        <f t="shared" si="2"/>
        <v>#DIV/0!</v>
      </c>
      <c r="H31" s="194" t="e">
        <f t="shared" si="2"/>
        <v>#DIV/0!</v>
      </c>
      <c r="I31" s="233"/>
    </row>
    <row r="32" spans="1:19" ht="21.75">
      <c r="B32" s="40"/>
      <c r="C32" s="849"/>
      <c r="D32" s="849"/>
      <c r="E32" s="849"/>
      <c r="F32" s="163"/>
      <c r="G32" s="163"/>
      <c r="H32" s="163"/>
    </row>
    <row r="33" spans="1:8" ht="21.75">
      <c r="A33" s="40"/>
      <c r="B33" s="40"/>
      <c r="C33" s="849"/>
      <c r="D33" s="849"/>
      <c r="E33" s="849"/>
      <c r="F33" s="163"/>
      <c r="G33" s="163"/>
      <c r="H33" s="163"/>
    </row>
    <row r="34" spans="1:8" ht="21.75">
      <c r="A34" s="740" t="s">
        <v>951</v>
      </c>
      <c r="B34" s="740"/>
      <c r="C34" s="740"/>
      <c r="D34" s="37"/>
      <c r="E34" s="38"/>
      <c r="F34" s="38"/>
      <c r="G34" s="38"/>
      <c r="H34" s="39"/>
    </row>
    <row r="35" spans="1:8" ht="18" customHeight="1">
      <c r="A35" s="40"/>
      <c r="B35" s="42"/>
      <c r="C35" s="755">
        <v>1</v>
      </c>
      <c r="D35" s="755"/>
      <c r="E35" s="755"/>
      <c r="F35" s="755"/>
      <c r="G35" s="755"/>
      <c r="H35" s="755"/>
    </row>
    <row r="36" spans="1:8" ht="21.75">
      <c r="A36" s="35"/>
      <c r="B36" s="41"/>
      <c r="C36" s="755">
        <v>2</v>
      </c>
      <c r="D36" s="755"/>
      <c r="E36" s="755"/>
      <c r="F36" s="755"/>
      <c r="G36" s="755"/>
      <c r="H36" s="755"/>
    </row>
    <row r="37" spans="1:8" ht="21.75">
      <c r="A37" s="35"/>
      <c r="B37" s="41"/>
      <c r="C37" s="755">
        <v>3</v>
      </c>
      <c r="D37" s="755"/>
      <c r="E37" s="755"/>
      <c r="F37" s="755"/>
      <c r="G37" s="755"/>
      <c r="H37" s="755"/>
    </row>
  </sheetData>
  <mergeCells count="39">
    <mergeCell ref="S11:T11"/>
    <mergeCell ref="Q12:R12"/>
    <mergeCell ref="S12:T14"/>
    <mergeCell ref="Q13:R13"/>
    <mergeCell ref="Q14:R14"/>
    <mergeCell ref="A34:C34"/>
    <mergeCell ref="C35:H35"/>
    <mergeCell ref="C36:H36"/>
    <mergeCell ref="C37:H37"/>
    <mergeCell ref="Q11:R11"/>
    <mergeCell ref="C33:E33"/>
    <mergeCell ref="A16:C16"/>
    <mergeCell ref="F16:I16"/>
    <mergeCell ref="A17:C18"/>
    <mergeCell ref="D17:D18"/>
    <mergeCell ref="E17:H17"/>
    <mergeCell ref="A19:H19"/>
    <mergeCell ref="B20:C20"/>
    <mergeCell ref="B21:C21"/>
    <mergeCell ref="B30:C30"/>
    <mergeCell ref="B31:C31"/>
    <mergeCell ref="A1:I1"/>
    <mergeCell ref="A2:I2"/>
    <mergeCell ref="A3:I3"/>
    <mergeCell ref="A4:I4"/>
    <mergeCell ref="A6:F7"/>
    <mergeCell ref="G6:H6"/>
    <mergeCell ref="C32:E32"/>
    <mergeCell ref="A9:G9"/>
    <mergeCell ref="A11:D11"/>
    <mergeCell ref="F11:G11"/>
    <mergeCell ref="H11:I11"/>
    <mergeCell ref="B12:D12"/>
    <mergeCell ref="F12:G12"/>
    <mergeCell ref="H12:I14"/>
    <mergeCell ref="B13:D13"/>
    <mergeCell ref="F13:G13"/>
    <mergeCell ref="B14:D14"/>
    <mergeCell ref="F14:G14"/>
  </mergeCells>
  <dataValidations count="4">
    <dataValidation type="list" errorStyle="information" allowBlank="1" showInputMessage="1" showErrorMessage="1" prompt="กรุณาเลือก" sqref="G6:H6">
      <formula1>$N$11:$N$12</formula1>
    </dataValidation>
    <dataValidation allowBlank="1" showInputMessage="1" showErrorMessage="1" prompt="กรุณาใส่คะแนนตามที่หน่วยงานรายงาน_x000a_" sqref="F33"/>
    <dataValidation allowBlank="1" showInputMessage="1" showErrorMessage="1" prompt="กรุณาใส่ผลการดำเนินงานตามรายงานของหน่วยงาน" sqref="F32"/>
    <dataValidation type="list" allowBlank="1" showInputMessage="1" showErrorMessage="1" sqref="I17">
      <formula1>$M$365:$M$367</formula1>
    </dataValidation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  <rowBreaks count="1" manualBreakCount="1">
    <brk id="15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1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2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267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268</v>
      </c>
      <c r="D16" s="733"/>
      <c r="E16" s="734"/>
      <c r="F16" s="398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269</v>
      </c>
      <c r="D17" s="733"/>
      <c r="E17" s="734"/>
      <c r="F17" s="398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270</v>
      </c>
      <c r="D18" s="733"/>
      <c r="E18" s="734"/>
      <c r="F18" s="398"/>
      <c r="G18" s="378" t="s">
        <v>32</v>
      </c>
    </row>
    <row r="19" spans="1:7" s="87" customFormat="1" ht="11.25" customHeight="1">
      <c r="A19" s="100"/>
      <c r="B19" s="392"/>
      <c r="C19" s="122"/>
      <c r="D19" s="143"/>
      <c r="E19" s="143"/>
      <c r="F19" s="85"/>
      <c r="G19" s="393"/>
    </row>
    <row r="20" spans="1:7" s="85" customFormat="1">
      <c r="A20" s="884" t="s">
        <v>77</v>
      </c>
      <c r="B20" s="884"/>
      <c r="C20" s="884"/>
      <c r="D20" s="884"/>
      <c r="E20" s="884"/>
      <c r="F20" s="884"/>
      <c r="G20" s="884"/>
    </row>
    <row r="21" spans="1:7" s="85" customFormat="1" ht="5.25" customHeight="1">
      <c r="A21" s="84"/>
      <c r="B21" s="84"/>
      <c r="C21" s="84"/>
      <c r="D21" s="142"/>
      <c r="E21" s="142"/>
      <c r="F21" s="84"/>
      <c r="G21" s="84"/>
    </row>
    <row r="22" spans="1:7" s="91" customFormat="1" ht="34.5" customHeight="1">
      <c r="A22" s="394"/>
      <c r="B22" s="395"/>
      <c r="C22" s="374" t="s">
        <v>76</v>
      </c>
      <c r="D22" s="732" t="s">
        <v>0</v>
      </c>
      <c r="E22" s="732"/>
      <c r="F22" s="443" t="s">
        <v>495</v>
      </c>
      <c r="G22" s="374" t="s">
        <v>60</v>
      </c>
    </row>
    <row r="23" spans="1:7" s="87" customFormat="1" ht="63">
      <c r="A23" s="100"/>
      <c r="B23" s="31" t="str">
        <f t="shared" si="0"/>
        <v>¨</v>
      </c>
      <c r="C23" s="86" t="s">
        <v>271</v>
      </c>
      <c r="D23" s="733"/>
      <c r="E23" s="734"/>
      <c r="F23" s="398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272</v>
      </c>
      <c r="D24" s="733"/>
      <c r="E24" s="734"/>
      <c r="F24" s="398"/>
      <c r="G24" s="378" t="s">
        <v>32</v>
      </c>
    </row>
    <row r="25" spans="1:7" s="85" customFormat="1">
      <c r="D25" s="144"/>
      <c r="E25" s="144"/>
    </row>
  </sheetData>
  <mergeCells count="16">
    <mergeCell ref="E10:F10"/>
    <mergeCell ref="A1:G1"/>
    <mergeCell ref="A2:G2"/>
    <mergeCell ref="A3:G3"/>
    <mergeCell ref="A4:G4"/>
    <mergeCell ref="A8:G8"/>
    <mergeCell ref="A20:G20"/>
    <mergeCell ref="D22:E22"/>
    <mergeCell ref="D23:E23"/>
    <mergeCell ref="D24:E24"/>
    <mergeCell ref="E11:F11"/>
    <mergeCell ref="A13:G13"/>
    <mergeCell ref="D15:E15"/>
    <mergeCell ref="D16:E16"/>
    <mergeCell ref="D17:E17"/>
    <mergeCell ref="D18:E1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9 G23:G24">
      <formula1>$K$1:$K$3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1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29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273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274</v>
      </c>
      <c r="D16" s="733"/>
      <c r="E16" s="734"/>
      <c r="F16" s="398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275</v>
      </c>
      <c r="D17" s="733"/>
      <c r="E17" s="734"/>
      <c r="F17" s="398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276</v>
      </c>
      <c r="D18" s="733"/>
      <c r="E18" s="734"/>
      <c r="F18" s="398"/>
      <c r="G18" s="378" t="s">
        <v>32</v>
      </c>
    </row>
    <row r="19" spans="1:7" s="87" customFormat="1" ht="11.25" customHeight="1">
      <c r="A19" s="100"/>
      <c r="B19" s="392"/>
      <c r="C19" s="122"/>
      <c r="D19" s="143"/>
      <c r="E19" s="143"/>
      <c r="F19" s="85"/>
      <c r="G19" s="393"/>
    </row>
    <row r="20" spans="1:7" s="85" customFormat="1">
      <c r="A20" s="884" t="s">
        <v>77</v>
      </c>
      <c r="B20" s="884"/>
      <c r="C20" s="884"/>
      <c r="D20" s="884"/>
      <c r="E20" s="884"/>
      <c r="F20" s="884"/>
      <c r="G20" s="884"/>
    </row>
    <row r="21" spans="1:7" s="85" customFormat="1" ht="5.25" customHeight="1">
      <c r="A21" s="84"/>
      <c r="B21" s="84"/>
      <c r="C21" s="84"/>
      <c r="D21" s="142"/>
      <c r="E21" s="142"/>
      <c r="F21" s="84"/>
      <c r="G21" s="84"/>
    </row>
    <row r="22" spans="1:7" s="91" customFormat="1" ht="34.5" customHeight="1">
      <c r="A22" s="394"/>
      <c r="B22" s="395"/>
      <c r="C22" s="374" t="s">
        <v>76</v>
      </c>
      <c r="D22" s="732" t="s">
        <v>0</v>
      </c>
      <c r="E22" s="732"/>
      <c r="F22" s="443" t="s">
        <v>495</v>
      </c>
      <c r="G22" s="374" t="s">
        <v>60</v>
      </c>
    </row>
    <row r="23" spans="1:7" s="87" customFormat="1" ht="63">
      <c r="A23" s="100"/>
      <c r="B23" s="31" t="str">
        <f t="shared" si="0"/>
        <v>¨</v>
      </c>
      <c r="C23" s="86" t="s">
        <v>277</v>
      </c>
      <c r="D23" s="733"/>
      <c r="E23" s="734"/>
      <c r="F23" s="398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278</v>
      </c>
      <c r="D24" s="733"/>
      <c r="E24" s="734"/>
      <c r="F24" s="398"/>
      <c r="G24" s="378" t="s">
        <v>32</v>
      </c>
    </row>
    <row r="25" spans="1:7" s="85" customFormat="1">
      <c r="B25" s="88"/>
      <c r="D25" s="144"/>
      <c r="E25" s="144"/>
    </row>
  </sheetData>
  <mergeCells count="16">
    <mergeCell ref="E10:F10"/>
    <mergeCell ref="A1:G1"/>
    <mergeCell ref="A2:G2"/>
    <mergeCell ref="A3:G3"/>
    <mergeCell ref="A4:G4"/>
    <mergeCell ref="A8:G8"/>
    <mergeCell ref="A20:G20"/>
    <mergeCell ref="D22:E22"/>
    <mergeCell ref="D23:E23"/>
    <mergeCell ref="D24:E24"/>
    <mergeCell ref="E11:F11"/>
    <mergeCell ref="A13:G13"/>
    <mergeCell ref="D15:E15"/>
    <mergeCell ref="D16:E16"/>
    <mergeCell ref="D17:E17"/>
    <mergeCell ref="D18:E18"/>
  </mergeCells>
  <dataValidations count="2">
    <dataValidation type="list" allowBlank="1" showInputMessage="1" showErrorMessage="1" sqref="G16:G19 G23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V31"/>
  <sheetViews>
    <sheetView view="pageBreakPreview" zoomScaleNormal="80" zoomScaleSheetLayoutView="100" workbookViewId="0">
      <selection activeCell="A28" sqref="A28:XFD31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9.140625" customWidth="1"/>
    <col min="10" max="15" width="9.140625" hidden="1" customWidth="1"/>
    <col min="16" max="16" width="23.5703125" hidden="1" customWidth="1"/>
    <col min="17" max="18" width="9.140625" hidden="1" customWidth="1"/>
    <col min="19" max="26" width="9.140625" customWidth="1"/>
  </cols>
  <sheetData>
    <row r="1" spans="1:22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2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2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2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2" ht="10.5" customHeight="1">
      <c r="A5" s="13"/>
      <c r="B5" s="14"/>
      <c r="C5" s="14"/>
      <c r="D5" s="13"/>
      <c r="E5" s="13"/>
      <c r="F5" s="13"/>
      <c r="G5" s="13"/>
      <c r="H5" s="13"/>
    </row>
    <row r="6" spans="1:22" ht="21">
      <c r="A6" s="787" t="s">
        <v>279</v>
      </c>
      <c r="B6" s="787"/>
      <c r="C6" s="787"/>
      <c r="D6" s="787"/>
      <c r="E6" s="787"/>
      <c r="F6" s="787"/>
      <c r="G6" s="741" t="s">
        <v>61</v>
      </c>
      <c r="H6" s="741"/>
    </row>
    <row r="7" spans="1:22" ht="21" customHeight="1">
      <c r="A7" s="787"/>
      <c r="B7" s="787"/>
      <c r="C7" s="787"/>
      <c r="D7" s="787"/>
      <c r="E7" s="787"/>
      <c r="F7" s="787"/>
      <c r="G7" s="16"/>
      <c r="H7" s="16"/>
    </row>
    <row r="8" spans="1:22" ht="10.5" customHeight="1">
      <c r="A8" s="156"/>
      <c r="B8" s="156"/>
      <c r="C8" s="156"/>
      <c r="D8" s="156"/>
      <c r="E8" s="156"/>
      <c r="F8" s="156"/>
      <c r="G8" s="16"/>
      <c r="H8" s="16"/>
    </row>
    <row r="9" spans="1:22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2" ht="13.5" customHeight="1">
      <c r="A10" s="15"/>
      <c r="B10" s="14"/>
      <c r="C10" s="14"/>
      <c r="D10" s="13"/>
      <c r="E10" s="13"/>
      <c r="F10" s="13"/>
      <c r="G10" s="13"/>
      <c r="H10" s="13"/>
    </row>
    <row r="11" spans="1:22" ht="43.5" customHeight="1">
      <c r="A11" s="747" t="s">
        <v>931</v>
      </c>
      <c r="B11" s="748"/>
      <c r="C11" s="748"/>
      <c r="D11" s="749"/>
      <c r="E11" s="155" t="s">
        <v>8</v>
      </c>
      <c r="F11" s="750" t="s">
        <v>929</v>
      </c>
      <c r="G11" s="751"/>
      <c r="H11" s="831" t="s">
        <v>7</v>
      </c>
      <c r="I11" s="831"/>
      <c r="J11" s="48"/>
      <c r="N11" s="78"/>
      <c r="S11" s="750" t="s">
        <v>605</v>
      </c>
      <c r="T11" s="751"/>
      <c r="U11" s="831" t="s">
        <v>7</v>
      </c>
      <c r="V11" s="831"/>
    </row>
    <row r="12" spans="1:22" ht="23.25">
      <c r="A12" s="20">
        <v>1</v>
      </c>
      <c r="B12" s="736" t="s">
        <v>288</v>
      </c>
      <c r="C12" s="736"/>
      <c r="D12" s="737"/>
      <c r="E12" s="241" t="s">
        <v>291</v>
      </c>
      <c r="F12" s="886">
        <f>G20</f>
        <v>0</v>
      </c>
      <c r="G12" s="886"/>
      <c r="H12" s="853">
        <f>IF(G6&lt;&gt;"ประเมิน",G6,IF(F14&gt;=30,5,IF(F14,(F14*5)/30,0)))</f>
        <v>0</v>
      </c>
      <c r="I12" s="853"/>
      <c r="N12" s="82" t="s">
        <v>61</v>
      </c>
      <c r="S12" s="886">
        <f>H20</f>
        <v>0</v>
      </c>
      <c r="T12" s="886"/>
      <c r="U12" s="853">
        <f>IF(G6&lt;&gt;"ประเมิน",G6,IF(S14&gt;=30,5,IF(S14,(S14*5)/30,0)))</f>
        <v>0</v>
      </c>
      <c r="V12" s="853"/>
    </row>
    <row r="13" spans="1:22" ht="42.75" customHeight="1">
      <c r="A13" s="20">
        <v>2</v>
      </c>
      <c r="B13" s="736" t="s">
        <v>289</v>
      </c>
      <c r="C13" s="736"/>
      <c r="D13" s="737"/>
      <c r="E13" s="241" t="s">
        <v>291</v>
      </c>
      <c r="F13" s="882" t="str">
        <f>G21</f>
        <v>No 2 legs</v>
      </c>
      <c r="G13" s="882"/>
      <c r="H13" s="853"/>
      <c r="I13" s="853"/>
      <c r="S13" s="882" t="str">
        <f>H21</f>
        <v>No 2 legs</v>
      </c>
      <c r="T13" s="882"/>
      <c r="U13" s="853"/>
      <c r="V13" s="853"/>
    </row>
    <row r="14" spans="1:22" ht="44.25" customHeight="1">
      <c r="A14" s="20">
        <v>3</v>
      </c>
      <c r="B14" s="736" t="s">
        <v>290</v>
      </c>
      <c r="C14" s="736"/>
      <c r="D14" s="737"/>
      <c r="E14" s="241" t="s">
        <v>5</v>
      </c>
      <c r="F14" s="871">
        <f>IF(F13="No 2 legs",0,(F13/F12*100))</f>
        <v>0</v>
      </c>
      <c r="G14" s="871"/>
      <c r="H14" s="853"/>
      <c r="I14" s="853"/>
      <c r="L14" t="s">
        <v>38</v>
      </c>
      <c r="M14">
        <v>20</v>
      </c>
      <c r="S14" s="871">
        <f>IF(S13="No 2 legs",0,(S13/S12*100))</f>
        <v>0</v>
      </c>
      <c r="T14" s="871"/>
      <c r="U14" s="853"/>
      <c r="V14" s="853"/>
    </row>
    <row r="15" spans="1:22" ht="44.25" customHeight="1">
      <c r="A15" s="40"/>
      <c r="B15" s="162"/>
      <c r="C15" s="154"/>
      <c r="D15" s="154"/>
      <c r="E15" s="226"/>
      <c r="F15" s="227"/>
      <c r="G15" s="227"/>
      <c r="H15" s="228"/>
      <c r="I15" s="228"/>
    </row>
    <row r="16" spans="1:22" ht="21.75">
      <c r="A16" s="883" t="s">
        <v>77</v>
      </c>
      <c r="B16" s="883"/>
      <c r="C16" s="883"/>
      <c r="D16" s="130"/>
      <c r="E16" s="108"/>
      <c r="F16" s="797"/>
      <c r="G16" s="797"/>
      <c r="H16" s="797"/>
      <c r="I16" s="797"/>
    </row>
    <row r="17" spans="1:18" ht="21">
      <c r="A17" s="877" t="s">
        <v>4</v>
      </c>
      <c r="B17" s="877"/>
      <c r="C17" s="877"/>
      <c r="D17" s="877" t="s">
        <v>2</v>
      </c>
      <c r="E17" s="878" t="s">
        <v>0</v>
      </c>
      <c r="F17" s="878"/>
      <c r="G17" s="878"/>
      <c r="H17" s="878"/>
    </row>
    <row r="18" spans="1:18" ht="21">
      <c r="A18" s="877"/>
      <c r="B18" s="877"/>
      <c r="C18" s="877"/>
      <c r="D18" s="877"/>
      <c r="E18" s="167">
        <v>2554</v>
      </c>
      <c r="F18" s="167">
        <v>2555</v>
      </c>
      <c r="G18" s="167">
        <v>2556</v>
      </c>
      <c r="H18" s="167" t="s">
        <v>1</v>
      </c>
    </row>
    <row r="19" spans="1:18" ht="21">
      <c r="A19" s="879" t="s">
        <v>280</v>
      </c>
      <c r="B19" s="880"/>
      <c r="C19" s="880"/>
      <c r="D19" s="880"/>
      <c r="E19" s="880"/>
      <c r="F19" s="880"/>
      <c r="G19" s="880"/>
      <c r="H19" s="881"/>
    </row>
    <row r="20" spans="1:18" ht="42">
      <c r="A20" s="215">
        <v>1</v>
      </c>
      <c r="B20" s="875" t="s">
        <v>281</v>
      </c>
      <c r="C20" s="876"/>
      <c r="D20" s="256" t="s">
        <v>282</v>
      </c>
      <c r="E20" s="184">
        <v>0</v>
      </c>
      <c r="F20" s="184">
        <v>0</v>
      </c>
      <c r="G20" s="184">
        <v>0</v>
      </c>
      <c r="H20" s="172">
        <f>SUM(E20:G20)</f>
        <v>0</v>
      </c>
    </row>
    <row r="21" spans="1:18" ht="42">
      <c r="A21" s="215">
        <v>2</v>
      </c>
      <c r="B21" s="875" t="s">
        <v>283</v>
      </c>
      <c r="C21" s="876"/>
      <c r="D21" s="256" t="s">
        <v>282</v>
      </c>
      <c r="E21" s="492" t="str">
        <f>R21</f>
        <v>No 2 legs</v>
      </c>
      <c r="F21" s="492" t="str">
        <f>R22</f>
        <v>No 2 legs</v>
      </c>
      <c r="G21" s="492" t="str">
        <f>R23</f>
        <v>No 2 legs</v>
      </c>
      <c r="H21" s="492" t="str">
        <f>R24</f>
        <v>No 2 legs</v>
      </c>
      <c r="R21" t="str">
        <f>IF(OR(E22="",E23="")*OR(E24=""),"No 2 legs",SUM(E22:E24))</f>
        <v>No 2 legs</v>
      </c>
    </row>
    <row r="22" spans="1:18" ht="42">
      <c r="A22" s="215"/>
      <c r="B22" s="221">
        <v>2.1</v>
      </c>
      <c r="C22" s="222" t="s">
        <v>284</v>
      </c>
      <c r="D22" s="256" t="s">
        <v>282</v>
      </c>
      <c r="E22" s="257"/>
      <c r="F22" s="257"/>
      <c r="G22" s="257"/>
      <c r="H22" s="172">
        <f>SUM(E22:G22)</f>
        <v>0</v>
      </c>
      <c r="R22" t="str">
        <f>IF(OR(F22="",F23="")*OR(F24=""),"No 2 legs",SUM(F22:F24))</f>
        <v>No 2 legs</v>
      </c>
    </row>
    <row r="23" spans="1:18" ht="42">
      <c r="A23" s="215"/>
      <c r="B23" s="221">
        <v>2.2000000000000002</v>
      </c>
      <c r="C23" s="222" t="s">
        <v>285</v>
      </c>
      <c r="D23" s="256" t="s">
        <v>282</v>
      </c>
      <c r="E23" s="257"/>
      <c r="F23" s="257"/>
      <c r="G23" s="257"/>
      <c r="H23" s="172">
        <f>SUM(E23:G23)</f>
        <v>0</v>
      </c>
      <c r="R23" t="str">
        <f>IF(OR(G22="",G23="")*OR(G24=""),"No 2 legs",SUM(G22:G24))</f>
        <v>No 2 legs</v>
      </c>
    </row>
    <row r="24" spans="1:18" ht="42">
      <c r="A24" s="215"/>
      <c r="B24" s="221">
        <v>2.2999999999999998</v>
      </c>
      <c r="C24" s="222" t="s">
        <v>286</v>
      </c>
      <c r="D24" s="256" t="s">
        <v>282</v>
      </c>
      <c r="E24" s="257"/>
      <c r="F24" s="257"/>
      <c r="G24" s="257"/>
      <c r="H24" s="172">
        <f>SUM(E24:G24)</f>
        <v>0</v>
      </c>
      <c r="R24" t="str">
        <f>IF(OR(H22=0,H23=0)*OR(H24=0),"No 2 legs",SUM(H22:H24))</f>
        <v>No 2 legs</v>
      </c>
    </row>
    <row r="25" spans="1:18" ht="39.75" customHeight="1">
      <c r="A25" s="215">
        <v>3</v>
      </c>
      <c r="B25" s="885" t="s">
        <v>287</v>
      </c>
      <c r="C25" s="876"/>
      <c r="D25" s="216" t="s">
        <v>5</v>
      </c>
      <c r="E25" s="194">
        <f t="shared" ref="E25:F25" si="0">IF(E21="No 2 legs",0,(E21/E20*100))</f>
        <v>0</v>
      </c>
      <c r="F25" s="194">
        <f t="shared" si="0"/>
        <v>0</v>
      </c>
      <c r="G25" s="194">
        <f>IF(G21="No 2 legs",0,(G21/G20*100))</f>
        <v>0</v>
      </c>
      <c r="H25" s="194">
        <f>IF(H21="No 2 legs",0,(H21/H20*100))</f>
        <v>0</v>
      </c>
    </row>
    <row r="26" spans="1:18" ht="39.75" customHeight="1">
      <c r="A26" s="259"/>
      <c r="B26" s="260"/>
      <c r="C26" s="260"/>
      <c r="D26" s="261"/>
      <c r="E26" s="252"/>
      <c r="F26" s="252"/>
      <c r="G26" s="252"/>
      <c r="H26" s="252"/>
    </row>
    <row r="27" spans="1:18" ht="21.75">
      <c r="B27" s="258" t="s">
        <v>292</v>
      </c>
      <c r="C27" s="40"/>
      <c r="D27" s="40"/>
      <c r="E27" s="40"/>
      <c r="F27" s="163"/>
      <c r="G27" s="163"/>
      <c r="H27" s="163"/>
    </row>
    <row r="28" spans="1:18" ht="21.75">
      <c r="A28" s="740" t="s">
        <v>951</v>
      </c>
      <c r="B28" s="740"/>
      <c r="C28" s="740"/>
      <c r="D28" s="37"/>
      <c r="E28" s="38"/>
      <c r="F28" s="38"/>
      <c r="G28" s="38"/>
      <c r="H28" s="39"/>
    </row>
    <row r="29" spans="1:18" ht="18" customHeight="1">
      <c r="A29" s="40"/>
      <c r="B29" s="42"/>
      <c r="C29" s="755">
        <v>1</v>
      </c>
      <c r="D29" s="755"/>
      <c r="E29" s="755"/>
      <c r="F29" s="755"/>
      <c r="G29" s="755"/>
      <c r="H29" s="755"/>
    </row>
    <row r="30" spans="1:18" ht="21.75">
      <c r="A30" s="35"/>
      <c r="B30" s="41"/>
      <c r="C30" s="755">
        <v>2</v>
      </c>
      <c r="D30" s="755"/>
      <c r="E30" s="755"/>
      <c r="F30" s="755"/>
      <c r="G30" s="755"/>
      <c r="H30" s="755"/>
    </row>
    <row r="31" spans="1:18" ht="21.75">
      <c r="A31" s="35"/>
      <c r="B31" s="41"/>
      <c r="C31" s="755">
        <v>3</v>
      </c>
      <c r="D31" s="755"/>
      <c r="E31" s="755"/>
      <c r="F31" s="755"/>
      <c r="G31" s="755"/>
      <c r="H31" s="755"/>
    </row>
  </sheetData>
  <mergeCells count="36">
    <mergeCell ref="C29:H29"/>
    <mergeCell ref="C30:H30"/>
    <mergeCell ref="C31:H31"/>
    <mergeCell ref="S11:T11"/>
    <mergeCell ref="U11:V11"/>
    <mergeCell ref="S12:T12"/>
    <mergeCell ref="U12:V14"/>
    <mergeCell ref="S13:T13"/>
    <mergeCell ref="S14:T14"/>
    <mergeCell ref="F14:G14"/>
    <mergeCell ref="A16:C16"/>
    <mergeCell ref="F16:I16"/>
    <mergeCell ref="A19:H19"/>
    <mergeCell ref="B20:C20"/>
    <mergeCell ref="B21:C21"/>
    <mergeCell ref="A17:C18"/>
    <mergeCell ref="A1:I1"/>
    <mergeCell ref="A2:I2"/>
    <mergeCell ref="A3:I3"/>
    <mergeCell ref="A4:I4"/>
    <mergeCell ref="A6:F7"/>
    <mergeCell ref="G6:H6"/>
    <mergeCell ref="D17:D18"/>
    <mergeCell ref="E17:H17"/>
    <mergeCell ref="B25:C25"/>
    <mergeCell ref="A28:C28"/>
    <mergeCell ref="A9:G9"/>
    <mergeCell ref="A11:D11"/>
    <mergeCell ref="F11:G11"/>
    <mergeCell ref="H11:I11"/>
    <mergeCell ref="B12:D12"/>
    <mergeCell ref="F12:G12"/>
    <mergeCell ref="H12:I14"/>
    <mergeCell ref="B13:D13"/>
    <mergeCell ref="F13:G13"/>
    <mergeCell ref="B14:D14"/>
  </mergeCells>
  <dataValidations count="2">
    <dataValidation allowBlank="1" showInputMessage="1" showErrorMessage="1" prompt="กรุณาใส่ผลการดำเนินงานตามรายงานของหน่วยงาน" sqref="F27"/>
    <dataValidation type="list" errorStyle="information" allowBlank="1" showInputMessage="1" showErrorMessage="1" prompt="กรุณาเลือก" sqref="G6:H6">
      <formula1>$N$11:$N$12</formula1>
    </dataValidation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  <rowBreaks count="1" manualBreakCount="1">
    <brk id="27" max="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5"/>
  <sheetViews>
    <sheetView view="pageBreakPreview" topLeftCell="B1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4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121</v>
      </c>
      <c r="B6" s="102" t="s">
        <v>293</v>
      </c>
      <c r="C6" s="13"/>
      <c r="D6" s="141"/>
      <c r="E6" s="141"/>
      <c r="F6" s="13"/>
      <c r="G6" s="161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294</v>
      </c>
      <c r="D16" s="733"/>
      <c r="E16" s="734"/>
      <c r="F16" s="398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295</v>
      </c>
      <c r="D17" s="733"/>
      <c r="E17" s="734"/>
      <c r="F17" s="398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296</v>
      </c>
      <c r="D18" s="733"/>
      <c r="E18" s="734"/>
      <c r="F18" s="398"/>
      <c r="G18" s="378" t="s">
        <v>32</v>
      </c>
    </row>
    <row r="19" spans="1:7" s="87" customFormat="1" ht="11.25" customHeight="1">
      <c r="A19" s="100"/>
      <c r="B19" s="392"/>
      <c r="C19" s="122"/>
      <c r="D19" s="143"/>
      <c r="E19" s="143"/>
      <c r="F19" s="85"/>
      <c r="G19" s="393"/>
    </row>
    <row r="20" spans="1:7" s="85" customFormat="1">
      <c r="A20" s="884" t="s">
        <v>77</v>
      </c>
      <c r="B20" s="884"/>
      <c r="C20" s="884"/>
      <c r="D20" s="884"/>
      <c r="E20" s="884"/>
      <c r="F20" s="884"/>
      <c r="G20" s="884"/>
    </row>
    <row r="21" spans="1:7" s="85" customFormat="1" ht="5.25" customHeight="1">
      <c r="A21" s="84"/>
      <c r="B21" s="84"/>
      <c r="C21" s="84"/>
      <c r="D21" s="142"/>
      <c r="E21" s="142"/>
      <c r="F21" s="84"/>
      <c r="G21" s="84"/>
    </row>
    <row r="22" spans="1:7" s="91" customFormat="1" ht="34.5" customHeight="1">
      <c r="A22" s="394"/>
      <c r="B22" s="395"/>
      <c r="C22" s="374" t="s">
        <v>76</v>
      </c>
      <c r="D22" s="732" t="s">
        <v>0</v>
      </c>
      <c r="E22" s="732"/>
      <c r="F22" s="443" t="s">
        <v>495</v>
      </c>
      <c r="G22" s="374" t="s">
        <v>60</v>
      </c>
    </row>
    <row r="23" spans="1:7" s="87" customFormat="1" ht="84">
      <c r="A23" s="100"/>
      <c r="B23" s="31" t="str">
        <f t="shared" si="0"/>
        <v>¨</v>
      </c>
      <c r="C23" s="86" t="s">
        <v>297</v>
      </c>
      <c r="D23" s="733"/>
      <c r="E23" s="734"/>
      <c r="F23" s="398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298</v>
      </c>
      <c r="D24" s="733"/>
      <c r="E24" s="734"/>
      <c r="F24" s="398"/>
      <c r="G24" s="378" t="s">
        <v>32</v>
      </c>
    </row>
    <row r="25" spans="1:7" s="85" customFormat="1">
      <c r="B25" s="88"/>
      <c r="D25" s="144"/>
      <c r="E25" s="144"/>
    </row>
  </sheetData>
  <mergeCells count="16">
    <mergeCell ref="E10:F10"/>
    <mergeCell ref="A1:G1"/>
    <mergeCell ref="A2:G2"/>
    <mergeCell ref="A3:G3"/>
    <mergeCell ref="A4:G4"/>
    <mergeCell ref="A8:G8"/>
    <mergeCell ref="A20:G20"/>
    <mergeCell ref="D22:E22"/>
    <mergeCell ref="D23:E23"/>
    <mergeCell ref="D24:E24"/>
    <mergeCell ref="E11:F11"/>
    <mergeCell ref="A13:G13"/>
    <mergeCell ref="D15:E15"/>
    <mergeCell ref="D16:E16"/>
    <mergeCell ref="D17:E17"/>
    <mergeCell ref="D18:E1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9 G23:G24">
      <formula1>$K$1:$K$3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1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285156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50.25" customHeight="1">
      <c r="A6" s="102" t="s">
        <v>121</v>
      </c>
      <c r="B6" s="762" t="s">
        <v>299</v>
      </c>
      <c r="C6" s="762"/>
      <c r="D6" s="762"/>
      <c r="E6" s="762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IF(G6&lt;&gt;"ประเมิน",G6,IF(C11&gt;3,5,IF(C11&gt;2,4,IF(C11&gt;1,3,IF(C11=1,2,IF(C11=0,1,"-"))))))</f>
        <v>1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300</v>
      </c>
      <c r="D16" s="733"/>
      <c r="E16" s="734"/>
      <c r="F16" s="398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301</v>
      </c>
      <c r="D17" s="733"/>
      <c r="E17" s="734"/>
      <c r="F17" s="398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302</v>
      </c>
      <c r="D18" s="733"/>
      <c r="E18" s="734"/>
      <c r="F18" s="398"/>
      <c r="G18" s="378" t="s">
        <v>32</v>
      </c>
    </row>
    <row r="19" spans="1:7" s="87" customFormat="1" ht="11.25" customHeight="1">
      <c r="A19" s="100"/>
      <c r="B19" s="392"/>
      <c r="C19" s="122"/>
      <c r="D19" s="143"/>
      <c r="E19" s="143"/>
      <c r="F19" s="85"/>
      <c r="G19" s="393"/>
    </row>
    <row r="20" spans="1:7" s="85" customFormat="1">
      <c r="A20" s="884" t="s">
        <v>77</v>
      </c>
      <c r="B20" s="884"/>
      <c r="C20" s="884"/>
      <c r="D20" s="884"/>
      <c r="E20" s="884"/>
      <c r="F20" s="884"/>
      <c r="G20" s="884"/>
    </row>
    <row r="21" spans="1:7" s="85" customFormat="1" ht="5.25" customHeight="1">
      <c r="A21" s="84"/>
      <c r="B21" s="84"/>
      <c r="C21" s="84"/>
      <c r="D21" s="142"/>
      <c r="E21" s="142"/>
      <c r="F21" s="84"/>
      <c r="G21" s="84"/>
    </row>
    <row r="22" spans="1:7" s="91" customFormat="1" ht="34.5" customHeight="1">
      <c r="A22" s="394"/>
      <c r="B22" s="395"/>
      <c r="C22" s="374" t="s">
        <v>76</v>
      </c>
      <c r="D22" s="732" t="s">
        <v>0</v>
      </c>
      <c r="E22" s="732"/>
      <c r="F22" s="443" t="s">
        <v>495</v>
      </c>
      <c r="G22" s="374" t="s">
        <v>60</v>
      </c>
    </row>
    <row r="23" spans="1:7" s="87" customFormat="1" ht="114" customHeight="1">
      <c r="A23" s="100"/>
      <c r="B23" s="31" t="str">
        <f t="shared" si="0"/>
        <v>¨</v>
      </c>
      <c r="C23" s="86" t="s">
        <v>303</v>
      </c>
      <c r="D23" s="733"/>
      <c r="E23" s="734"/>
      <c r="F23" s="398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304</v>
      </c>
      <c r="D24" s="733"/>
      <c r="E24" s="734"/>
      <c r="F24" s="398"/>
      <c r="G24" s="378" t="s">
        <v>32</v>
      </c>
    </row>
    <row r="25" spans="1:7" s="85" customFormat="1">
      <c r="B25" s="88"/>
      <c r="D25" s="144"/>
      <c r="E25" s="144"/>
    </row>
  </sheetData>
  <mergeCells count="17">
    <mergeCell ref="A1:G1"/>
    <mergeCell ref="A2:G2"/>
    <mergeCell ref="A3:G3"/>
    <mergeCell ref="A4:G4"/>
    <mergeCell ref="A8:G8"/>
    <mergeCell ref="A20:G20"/>
    <mergeCell ref="D22:E22"/>
    <mergeCell ref="D23:E23"/>
    <mergeCell ref="D24:E24"/>
    <mergeCell ref="B6:E6"/>
    <mergeCell ref="E11:F11"/>
    <mergeCell ref="A13:G13"/>
    <mergeCell ref="D15:E15"/>
    <mergeCell ref="D16:E16"/>
    <mergeCell ref="D17:E17"/>
    <mergeCell ref="D18:E18"/>
    <mergeCell ref="E10:F10"/>
  </mergeCells>
  <dataValidations count="2">
    <dataValidation type="list" allowBlank="1" showInputMessage="1" showErrorMessage="1" sqref="G16:G19 G23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5"/>
  <sheetViews>
    <sheetView view="pageBreakPreview" topLeftCell="B1" zoomScaleNormal="80" zoomScaleSheetLayoutView="100" workbookViewId="0">
      <selection activeCell="A2" sqref="A2:G3"/>
    </sheetView>
  </sheetViews>
  <sheetFormatPr defaultColWidth="9.140625" defaultRowHeight="21"/>
  <cols>
    <col min="1" max="1" width="1.7109375" style="78" hidden="1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2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" style="78" customWidth="1"/>
    <col min="21" max="21" width="4.85546875" style="78" customWidth="1"/>
    <col min="22" max="22" width="4.28515625" style="78" customWidth="1"/>
    <col min="23" max="23" width="4.42578125" style="78" customWidth="1"/>
    <col min="24" max="24" width="4.140625" style="78" customWidth="1"/>
    <col min="25" max="25" width="1.28515625" style="78" customWidth="1"/>
    <col min="26" max="27" width="1.5703125" style="78" customWidth="1"/>
    <col min="28" max="28" width="1.28515625" style="78" customWidth="1"/>
    <col min="29" max="29" width="4.7109375" style="78" customWidth="1"/>
    <col min="30" max="30" width="3.85546875" style="78" customWidth="1"/>
    <col min="31" max="31" width="4" style="78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50.25" customHeight="1">
      <c r="A6" s="102" t="s">
        <v>121</v>
      </c>
      <c r="B6" s="762" t="s">
        <v>305</v>
      </c>
      <c r="C6" s="762"/>
      <c r="D6" s="762"/>
      <c r="E6" s="762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11"/>
      <c r="Z8" s="211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212"/>
      <c r="Z9" s="212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63"/>
      <c r="F10" s="763"/>
      <c r="G10" s="157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13"/>
      <c r="Z10" s="213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IF(G6&lt;&gt;"ประเมิน",G6,IF(C11&gt;3,5,IF(C11&gt;2,4,IF(C11&gt;1,3,IF(C11=1,2,IF(C11=0,1,"-"))))))</f>
        <v>1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131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300</v>
      </c>
      <c r="D16" s="733"/>
      <c r="E16" s="734"/>
      <c r="F16" s="398"/>
      <c r="G16" s="378" t="s">
        <v>32</v>
      </c>
    </row>
    <row r="17" spans="1:7" s="87" customFormat="1" ht="140.25" customHeight="1">
      <c r="A17" s="100"/>
      <c r="B17" s="31" t="str">
        <f t="shared" si="0"/>
        <v>¨</v>
      </c>
      <c r="C17" s="86" t="s">
        <v>301</v>
      </c>
      <c r="D17" s="733"/>
      <c r="E17" s="734"/>
      <c r="F17" s="398"/>
      <c r="G17" s="378" t="s">
        <v>32</v>
      </c>
    </row>
    <row r="18" spans="1:7" s="87" customFormat="1" ht="135" customHeight="1">
      <c r="A18" s="100"/>
      <c r="B18" s="31" t="str">
        <f>IF(G18="มีการดำเนินการ",$J$1, IF(A18=0,$J$2,$A$5))</f>
        <v>¨</v>
      </c>
      <c r="C18" s="86" t="s">
        <v>306</v>
      </c>
      <c r="D18" s="733"/>
      <c r="E18" s="734"/>
      <c r="F18" s="398"/>
      <c r="G18" s="378" t="s">
        <v>32</v>
      </c>
    </row>
    <row r="19" spans="1:7" s="87" customFormat="1" ht="11.25" customHeight="1">
      <c r="A19" s="100"/>
      <c r="B19" s="392"/>
      <c r="C19" s="122"/>
      <c r="D19" s="143"/>
      <c r="E19" s="143"/>
      <c r="F19" s="85"/>
      <c r="G19" s="393"/>
    </row>
    <row r="20" spans="1:7" s="85" customFormat="1">
      <c r="A20" s="884" t="s">
        <v>77</v>
      </c>
      <c r="B20" s="884"/>
      <c r="C20" s="884"/>
      <c r="D20" s="884"/>
      <c r="E20" s="884"/>
      <c r="F20" s="884"/>
      <c r="G20" s="884"/>
    </row>
    <row r="21" spans="1:7" s="85" customFormat="1" ht="5.25" customHeight="1">
      <c r="A21" s="84"/>
      <c r="B21" s="84"/>
      <c r="C21" s="84"/>
      <c r="D21" s="142"/>
      <c r="E21" s="142"/>
      <c r="F21" s="84"/>
      <c r="G21" s="84"/>
    </row>
    <row r="22" spans="1:7" s="91" customFormat="1" ht="34.5" customHeight="1">
      <c r="A22" s="394"/>
      <c r="B22" s="395"/>
      <c r="C22" s="374" t="s">
        <v>76</v>
      </c>
      <c r="D22" s="732" t="s">
        <v>0</v>
      </c>
      <c r="E22" s="732"/>
      <c r="F22" s="443" t="s">
        <v>495</v>
      </c>
      <c r="G22" s="374" t="s">
        <v>60</v>
      </c>
    </row>
    <row r="23" spans="1:7" s="87" customFormat="1" ht="87" customHeight="1">
      <c r="A23" s="100"/>
      <c r="B23" s="31" t="str">
        <f t="shared" si="0"/>
        <v>¨</v>
      </c>
      <c r="C23" s="86" t="s">
        <v>307</v>
      </c>
      <c r="D23" s="733"/>
      <c r="E23" s="734"/>
      <c r="F23" s="398"/>
      <c r="G23" s="378" t="s">
        <v>32</v>
      </c>
    </row>
    <row r="24" spans="1:7" s="87" customFormat="1" ht="138" customHeight="1">
      <c r="A24" s="100"/>
      <c r="B24" s="31" t="str">
        <f t="shared" si="0"/>
        <v>¨</v>
      </c>
      <c r="C24" s="86" t="s">
        <v>304</v>
      </c>
      <c r="D24" s="733"/>
      <c r="E24" s="734"/>
      <c r="F24" s="398"/>
      <c r="G24" s="378" t="s">
        <v>32</v>
      </c>
    </row>
    <row r="25" spans="1:7" s="85" customFormat="1">
      <c r="B25" s="88"/>
      <c r="D25" s="144"/>
      <c r="E25" s="144"/>
    </row>
  </sheetData>
  <mergeCells count="17">
    <mergeCell ref="D17:E17"/>
    <mergeCell ref="A1:G1"/>
    <mergeCell ref="A2:G2"/>
    <mergeCell ref="A3:G3"/>
    <mergeCell ref="A4:G4"/>
    <mergeCell ref="B6:E6"/>
    <mergeCell ref="A8:G8"/>
    <mergeCell ref="E10:F10"/>
    <mergeCell ref="E11:F11"/>
    <mergeCell ref="A13:G13"/>
    <mergeCell ref="D15:E15"/>
    <mergeCell ref="D16:E16"/>
    <mergeCell ref="D18:E18"/>
    <mergeCell ref="A20:G20"/>
    <mergeCell ref="D22:E22"/>
    <mergeCell ref="D23:E23"/>
    <mergeCell ref="D24:E24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9 G23:G24">
      <formula1>$K$1:$K$3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9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2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308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1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+IF(G6&lt;&gt;"ประเมิน",G6,(COUNTIF(B16:B29,$J$1)))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9" si="0">IF(G16="มีการดำเนินการ",$J$1, IF(A16=0,$J$2,$A$5))</f>
        <v>¨</v>
      </c>
      <c r="C16" s="86" t="s">
        <v>309</v>
      </c>
      <c r="D16" s="735"/>
      <c r="E16" s="735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310</v>
      </c>
      <c r="D17" s="735"/>
      <c r="E17" s="735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311</v>
      </c>
      <c r="D22" s="733"/>
      <c r="E22" s="734"/>
      <c r="F22" s="397"/>
      <c r="G22" s="378" t="s">
        <v>32</v>
      </c>
    </row>
    <row r="23" spans="1:7" s="87" customFormat="1" ht="63">
      <c r="A23" s="100"/>
      <c r="B23" s="31" t="str">
        <f t="shared" si="0"/>
        <v>¨</v>
      </c>
      <c r="C23" s="86" t="s">
        <v>312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90" t="s">
        <v>60</v>
      </c>
    </row>
    <row r="28" spans="1:7" s="87" customFormat="1" ht="84">
      <c r="A28" s="100"/>
      <c r="B28" s="31" t="str">
        <f t="shared" si="0"/>
        <v>¨</v>
      </c>
      <c r="C28" s="86" t="s">
        <v>313</v>
      </c>
      <c r="D28" s="733"/>
      <c r="E28" s="734"/>
      <c r="F28" s="397"/>
      <c r="G28" s="378" t="s">
        <v>32</v>
      </c>
    </row>
    <row r="29" spans="1:7" s="87" customFormat="1" ht="92.25" customHeight="1">
      <c r="A29" s="100"/>
      <c r="B29" s="31" t="str">
        <f t="shared" si="0"/>
        <v>¨</v>
      </c>
      <c r="C29" s="86" t="s">
        <v>314</v>
      </c>
      <c r="D29" s="733"/>
      <c r="E29" s="734"/>
      <c r="F29" s="397"/>
      <c r="G29" s="378" t="s">
        <v>32</v>
      </c>
    </row>
  </sheetData>
  <mergeCells count="19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21:E21"/>
    <mergeCell ref="D22:E22"/>
    <mergeCell ref="D23:E23"/>
    <mergeCell ref="A25:G25"/>
    <mergeCell ref="D27:E27"/>
    <mergeCell ref="D28:E2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 G28:G29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Normal="100" zoomScaleSheetLayoutView="100" workbookViewId="0">
      <pane ySplit="5" topLeftCell="A6" activePane="bottomLeft" state="frozen"/>
      <selection pane="bottomLeft" activeCell="N74" sqref="N74"/>
    </sheetView>
  </sheetViews>
  <sheetFormatPr defaultRowHeight="21"/>
  <cols>
    <col min="1" max="1" width="64.5703125" style="276" customWidth="1"/>
    <col min="2" max="2" width="8.140625" style="361" customWidth="1"/>
    <col min="3" max="3" width="9.7109375" style="362" customWidth="1"/>
    <col min="4" max="4" width="15.7109375" style="277" hidden="1" customWidth="1"/>
    <col min="5" max="5" width="19.42578125" style="276" hidden="1" customWidth="1"/>
    <col min="6" max="6" width="9.140625" style="277"/>
    <col min="7" max="10" width="0" style="277" hidden="1" customWidth="1"/>
    <col min="11" max="241" width="9.140625" style="277"/>
    <col min="242" max="242" width="64.5703125" style="277" customWidth="1"/>
    <col min="243" max="243" width="8.42578125" style="277" customWidth="1"/>
    <col min="244" max="244" width="9.7109375" style="277" bestFit="1" customWidth="1"/>
    <col min="245" max="245" width="3" style="277" customWidth="1"/>
    <col min="246" max="246" width="3.28515625" style="277" customWidth="1"/>
    <col min="247" max="248" width="2.85546875" style="277" customWidth="1"/>
    <col min="249" max="249" width="3" style="277" customWidth="1"/>
    <col min="250" max="250" width="2.5703125" style="277" customWidth="1"/>
    <col min="251" max="251" width="3" style="277" customWidth="1"/>
    <col min="252" max="252" width="2.7109375" style="277" customWidth="1"/>
    <col min="253" max="253" width="2.42578125" style="277" customWidth="1"/>
    <col min="254" max="254" width="13.85546875" style="277" bestFit="1" customWidth="1"/>
    <col min="255" max="255" width="9.140625" style="277"/>
    <col min="256" max="256" width="13.42578125" style="277" customWidth="1"/>
    <col min="257" max="257" width="19.42578125" style="277" customWidth="1"/>
    <col min="258" max="258" width="13.5703125" style="277" customWidth="1"/>
    <col min="259" max="259" width="24.5703125" style="277" customWidth="1"/>
    <col min="260" max="260" width="11.28515625" style="277" bestFit="1" customWidth="1"/>
    <col min="261" max="497" width="9.140625" style="277"/>
    <col min="498" max="498" width="64.5703125" style="277" customWidth="1"/>
    <col min="499" max="499" width="8.42578125" style="277" customWidth="1"/>
    <col min="500" max="500" width="9.7109375" style="277" bestFit="1" customWidth="1"/>
    <col min="501" max="501" width="3" style="277" customWidth="1"/>
    <col min="502" max="502" width="3.28515625" style="277" customWidth="1"/>
    <col min="503" max="504" width="2.85546875" style="277" customWidth="1"/>
    <col min="505" max="505" width="3" style="277" customWidth="1"/>
    <col min="506" max="506" width="2.5703125" style="277" customWidth="1"/>
    <col min="507" max="507" width="3" style="277" customWidth="1"/>
    <col min="508" max="508" width="2.7109375" style="277" customWidth="1"/>
    <col min="509" max="509" width="2.42578125" style="277" customWidth="1"/>
    <col min="510" max="510" width="13.85546875" style="277" bestFit="1" customWidth="1"/>
    <col min="511" max="511" width="9.140625" style="277"/>
    <col min="512" max="512" width="13.42578125" style="277" customWidth="1"/>
    <col min="513" max="513" width="19.42578125" style="277" customWidth="1"/>
    <col min="514" max="514" width="13.5703125" style="277" customWidth="1"/>
    <col min="515" max="515" width="24.5703125" style="277" customWidth="1"/>
    <col min="516" max="516" width="11.28515625" style="277" bestFit="1" customWidth="1"/>
    <col min="517" max="753" width="9.140625" style="277"/>
    <col min="754" max="754" width="64.5703125" style="277" customWidth="1"/>
    <col min="755" max="755" width="8.42578125" style="277" customWidth="1"/>
    <col min="756" max="756" width="9.7109375" style="277" bestFit="1" customWidth="1"/>
    <col min="757" max="757" width="3" style="277" customWidth="1"/>
    <col min="758" max="758" width="3.28515625" style="277" customWidth="1"/>
    <col min="759" max="760" width="2.85546875" style="277" customWidth="1"/>
    <col min="761" max="761" width="3" style="277" customWidth="1"/>
    <col min="762" max="762" width="2.5703125" style="277" customWidth="1"/>
    <col min="763" max="763" width="3" style="277" customWidth="1"/>
    <col min="764" max="764" width="2.7109375" style="277" customWidth="1"/>
    <col min="765" max="765" width="2.42578125" style="277" customWidth="1"/>
    <col min="766" max="766" width="13.85546875" style="277" bestFit="1" customWidth="1"/>
    <col min="767" max="767" width="9.140625" style="277"/>
    <col min="768" max="768" width="13.42578125" style="277" customWidth="1"/>
    <col min="769" max="769" width="19.42578125" style="277" customWidth="1"/>
    <col min="770" max="770" width="13.5703125" style="277" customWidth="1"/>
    <col min="771" max="771" width="24.5703125" style="277" customWidth="1"/>
    <col min="772" max="772" width="11.28515625" style="277" bestFit="1" customWidth="1"/>
    <col min="773" max="1009" width="9.140625" style="277"/>
    <col min="1010" max="1010" width="64.5703125" style="277" customWidth="1"/>
    <col min="1011" max="1011" width="8.42578125" style="277" customWidth="1"/>
    <col min="1012" max="1012" width="9.7109375" style="277" bestFit="1" customWidth="1"/>
    <col min="1013" max="1013" width="3" style="277" customWidth="1"/>
    <col min="1014" max="1014" width="3.28515625" style="277" customWidth="1"/>
    <col min="1015" max="1016" width="2.85546875" style="277" customWidth="1"/>
    <col min="1017" max="1017" width="3" style="277" customWidth="1"/>
    <col min="1018" max="1018" width="2.5703125" style="277" customWidth="1"/>
    <col min="1019" max="1019" width="3" style="277" customWidth="1"/>
    <col min="1020" max="1020" width="2.7109375" style="277" customWidth="1"/>
    <col min="1021" max="1021" width="2.42578125" style="277" customWidth="1"/>
    <col min="1022" max="1022" width="13.85546875" style="277" bestFit="1" customWidth="1"/>
    <col min="1023" max="1023" width="9.140625" style="277"/>
    <col min="1024" max="1024" width="13.42578125" style="277" customWidth="1"/>
    <col min="1025" max="1025" width="19.42578125" style="277" customWidth="1"/>
    <col min="1026" max="1026" width="13.5703125" style="277" customWidth="1"/>
    <col min="1027" max="1027" width="24.5703125" style="277" customWidth="1"/>
    <col min="1028" max="1028" width="11.28515625" style="277" bestFit="1" customWidth="1"/>
    <col min="1029" max="1265" width="9.140625" style="277"/>
    <col min="1266" max="1266" width="64.5703125" style="277" customWidth="1"/>
    <col min="1267" max="1267" width="8.42578125" style="277" customWidth="1"/>
    <col min="1268" max="1268" width="9.7109375" style="277" bestFit="1" customWidth="1"/>
    <col min="1269" max="1269" width="3" style="277" customWidth="1"/>
    <col min="1270" max="1270" width="3.28515625" style="277" customWidth="1"/>
    <col min="1271" max="1272" width="2.85546875" style="277" customWidth="1"/>
    <col min="1273" max="1273" width="3" style="277" customWidth="1"/>
    <col min="1274" max="1274" width="2.5703125" style="277" customWidth="1"/>
    <col min="1275" max="1275" width="3" style="277" customWidth="1"/>
    <col min="1276" max="1276" width="2.7109375" style="277" customWidth="1"/>
    <col min="1277" max="1277" width="2.42578125" style="277" customWidth="1"/>
    <col min="1278" max="1278" width="13.85546875" style="277" bestFit="1" customWidth="1"/>
    <col min="1279" max="1279" width="9.140625" style="277"/>
    <col min="1280" max="1280" width="13.42578125" style="277" customWidth="1"/>
    <col min="1281" max="1281" width="19.42578125" style="277" customWidth="1"/>
    <col min="1282" max="1282" width="13.5703125" style="277" customWidth="1"/>
    <col min="1283" max="1283" width="24.5703125" style="277" customWidth="1"/>
    <col min="1284" max="1284" width="11.28515625" style="277" bestFit="1" customWidth="1"/>
    <col min="1285" max="1521" width="9.140625" style="277"/>
    <col min="1522" max="1522" width="64.5703125" style="277" customWidth="1"/>
    <col min="1523" max="1523" width="8.42578125" style="277" customWidth="1"/>
    <col min="1524" max="1524" width="9.7109375" style="277" bestFit="1" customWidth="1"/>
    <col min="1525" max="1525" width="3" style="277" customWidth="1"/>
    <col min="1526" max="1526" width="3.28515625" style="277" customWidth="1"/>
    <col min="1527" max="1528" width="2.85546875" style="277" customWidth="1"/>
    <col min="1529" max="1529" width="3" style="277" customWidth="1"/>
    <col min="1530" max="1530" width="2.5703125" style="277" customWidth="1"/>
    <col min="1531" max="1531" width="3" style="277" customWidth="1"/>
    <col min="1532" max="1532" width="2.7109375" style="277" customWidth="1"/>
    <col min="1533" max="1533" width="2.42578125" style="277" customWidth="1"/>
    <col min="1534" max="1534" width="13.85546875" style="277" bestFit="1" customWidth="1"/>
    <col min="1535" max="1535" width="9.140625" style="277"/>
    <col min="1536" max="1536" width="13.42578125" style="277" customWidth="1"/>
    <col min="1537" max="1537" width="19.42578125" style="277" customWidth="1"/>
    <col min="1538" max="1538" width="13.5703125" style="277" customWidth="1"/>
    <col min="1539" max="1539" width="24.5703125" style="277" customWidth="1"/>
    <col min="1540" max="1540" width="11.28515625" style="277" bestFit="1" customWidth="1"/>
    <col min="1541" max="1777" width="9.140625" style="277"/>
    <col min="1778" max="1778" width="64.5703125" style="277" customWidth="1"/>
    <col min="1779" max="1779" width="8.42578125" style="277" customWidth="1"/>
    <col min="1780" max="1780" width="9.7109375" style="277" bestFit="1" customWidth="1"/>
    <col min="1781" max="1781" width="3" style="277" customWidth="1"/>
    <col min="1782" max="1782" width="3.28515625" style="277" customWidth="1"/>
    <col min="1783" max="1784" width="2.85546875" style="277" customWidth="1"/>
    <col min="1785" max="1785" width="3" style="277" customWidth="1"/>
    <col min="1786" max="1786" width="2.5703125" style="277" customWidth="1"/>
    <col min="1787" max="1787" width="3" style="277" customWidth="1"/>
    <col min="1788" max="1788" width="2.7109375" style="277" customWidth="1"/>
    <col min="1789" max="1789" width="2.42578125" style="277" customWidth="1"/>
    <col min="1790" max="1790" width="13.85546875" style="277" bestFit="1" customWidth="1"/>
    <col min="1791" max="1791" width="9.140625" style="277"/>
    <col min="1792" max="1792" width="13.42578125" style="277" customWidth="1"/>
    <col min="1793" max="1793" width="19.42578125" style="277" customWidth="1"/>
    <col min="1794" max="1794" width="13.5703125" style="277" customWidth="1"/>
    <col min="1795" max="1795" width="24.5703125" style="277" customWidth="1"/>
    <col min="1796" max="1796" width="11.28515625" style="277" bestFit="1" customWidth="1"/>
    <col min="1797" max="2033" width="9.140625" style="277"/>
    <col min="2034" max="2034" width="64.5703125" style="277" customWidth="1"/>
    <col min="2035" max="2035" width="8.42578125" style="277" customWidth="1"/>
    <col min="2036" max="2036" width="9.7109375" style="277" bestFit="1" customWidth="1"/>
    <col min="2037" max="2037" width="3" style="277" customWidth="1"/>
    <col min="2038" max="2038" width="3.28515625" style="277" customWidth="1"/>
    <col min="2039" max="2040" width="2.85546875" style="277" customWidth="1"/>
    <col min="2041" max="2041" width="3" style="277" customWidth="1"/>
    <col min="2042" max="2042" width="2.5703125" style="277" customWidth="1"/>
    <col min="2043" max="2043" width="3" style="277" customWidth="1"/>
    <col min="2044" max="2044" width="2.7109375" style="277" customWidth="1"/>
    <col min="2045" max="2045" width="2.42578125" style="277" customWidth="1"/>
    <col min="2046" max="2046" width="13.85546875" style="277" bestFit="1" customWidth="1"/>
    <col min="2047" max="2047" width="9.140625" style="277"/>
    <col min="2048" max="2048" width="13.42578125" style="277" customWidth="1"/>
    <col min="2049" max="2049" width="19.42578125" style="277" customWidth="1"/>
    <col min="2050" max="2050" width="13.5703125" style="277" customWidth="1"/>
    <col min="2051" max="2051" width="24.5703125" style="277" customWidth="1"/>
    <col min="2052" max="2052" width="11.28515625" style="277" bestFit="1" customWidth="1"/>
    <col min="2053" max="2289" width="9.140625" style="277"/>
    <col min="2290" max="2290" width="64.5703125" style="277" customWidth="1"/>
    <col min="2291" max="2291" width="8.42578125" style="277" customWidth="1"/>
    <col min="2292" max="2292" width="9.7109375" style="277" bestFit="1" customWidth="1"/>
    <col min="2293" max="2293" width="3" style="277" customWidth="1"/>
    <col min="2294" max="2294" width="3.28515625" style="277" customWidth="1"/>
    <col min="2295" max="2296" width="2.85546875" style="277" customWidth="1"/>
    <col min="2297" max="2297" width="3" style="277" customWidth="1"/>
    <col min="2298" max="2298" width="2.5703125" style="277" customWidth="1"/>
    <col min="2299" max="2299" width="3" style="277" customWidth="1"/>
    <col min="2300" max="2300" width="2.7109375" style="277" customWidth="1"/>
    <col min="2301" max="2301" width="2.42578125" style="277" customWidth="1"/>
    <col min="2302" max="2302" width="13.85546875" style="277" bestFit="1" customWidth="1"/>
    <col min="2303" max="2303" width="9.140625" style="277"/>
    <col min="2304" max="2304" width="13.42578125" style="277" customWidth="1"/>
    <col min="2305" max="2305" width="19.42578125" style="277" customWidth="1"/>
    <col min="2306" max="2306" width="13.5703125" style="277" customWidth="1"/>
    <col min="2307" max="2307" width="24.5703125" style="277" customWidth="1"/>
    <col min="2308" max="2308" width="11.28515625" style="277" bestFit="1" customWidth="1"/>
    <col min="2309" max="2545" width="9.140625" style="277"/>
    <col min="2546" max="2546" width="64.5703125" style="277" customWidth="1"/>
    <col min="2547" max="2547" width="8.42578125" style="277" customWidth="1"/>
    <col min="2548" max="2548" width="9.7109375" style="277" bestFit="1" customWidth="1"/>
    <col min="2549" max="2549" width="3" style="277" customWidth="1"/>
    <col min="2550" max="2550" width="3.28515625" style="277" customWidth="1"/>
    <col min="2551" max="2552" width="2.85546875" style="277" customWidth="1"/>
    <col min="2553" max="2553" width="3" style="277" customWidth="1"/>
    <col min="2554" max="2554" width="2.5703125" style="277" customWidth="1"/>
    <col min="2555" max="2555" width="3" style="277" customWidth="1"/>
    <col min="2556" max="2556" width="2.7109375" style="277" customWidth="1"/>
    <col min="2557" max="2557" width="2.42578125" style="277" customWidth="1"/>
    <col min="2558" max="2558" width="13.85546875" style="277" bestFit="1" customWidth="1"/>
    <col min="2559" max="2559" width="9.140625" style="277"/>
    <col min="2560" max="2560" width="13.42578125" style="277" customWidth="1"/>
    <col min="2561" max="2561" width="19.42578125" style="277" customWidth="1"/>
    <col min="2562" max="2562" width="13.5703125" style="277" customWidth="1"/>
    <col min="2563" max="2563" width="24.5703125" style="277" customWidth="1"/>
    <col min="2564" max="2564" width="11.28515625" style="277" bestFit="1" customWidth="1"/>
    <col min="2565" max="2801" width="9.140625" style="277"/>
    <col min="2802" max="2802" width="64.5703125" style="277" customWidth="1"/>
    <col min="2803" max="2803" width="8.42578125" style="277" customWidth="1"/>
    <col min="2804" max="2804" width="9.7109375" style="277" bestFit="1" customWidth="1"/>
    <col min="2805" max="2805" width="3" style="277" customWidth="1"/>
    <col min="2806" max="2806" width="3.28515625" style="277" customWidth="1"/>
    <col min="2807" max="2808" width="2.85546875" style="277" customWidth="1"/>
    <col min="2809" max="2809" width="3" style="277" customWidth="1"/>
    <col min="2810" max="2810" width="2.5703125" style="277" customWidth="1"/>
    <col min="2811" max="2811" width="3" style="277" customWidth="1"/>
    <col min="2812" max="2812" width="2.7109375" style="277" customWidth="1"/>
    <col min="2813" max="2813" width="2.42578125" style="277" customWidth="1"/>
    <col min="2814" max="2814" width="13.85546875" style="277" bestFit="1" customWidth="1"/>
    <col min="2815" max="2815" width="9.140625" style="277"/>
    <col min="2816" max="2816" width="13.42578125" style="277" customWidth="1"/>
    <col min="2817" max="2817" width="19.42578125" style="277" customWidth="1"/>
    <col min="2818" max="2818" width="13.5703125" style="277" customWidth="1"/>
    <col min="2819" max="2819" width="24.5703125" style="277" customWidth="1"/>
    <col min="2820" max="2820" width="11.28515625" style="277" bestFit="1" customWidth="1"/>
    <col min="2821" max="3057" width="9.140625" style="277"/>
    <col min="3058" max="3058" width="64.5703125" style="277" customWidth="1"/>
    <col min="3059" max="3059" width="8.42578125" style="277" customWidth="1"/>
    <col min="3060" max="3060" width="9.7109375" style="277" bestFit="1" customWidth="1"/>
    <col min="3061" max="3061" width="3" style="277" customWidth="1"/>
    <col min="3062" max="3062" width="3.28515625" style="277" customWidth="1"/>
    <col min="3063" max="3064" width="2.85546875" style="277" customWidth="1"/>
    <col min="3065" max="3065" width="3" style="277" customWidth="1"/>
    <col min="3066" max="3066" width="2.5703125" style="277" customWidth="1"/>
    <col min="3067" max="3067" width="3" style="277" customWidth="1"/>
    <col min="3068" max="3068" width="2.7109375" style="277" customWidth="1"/>
    <col min="3069" max="3069" width="2.42578125" style="277" customWidth="1"/>
    <col min="3070" max="3070" width="13.85546875" style="277" bestFit="1" customWidth="1"/>
    <col min="3071" max="3071" width="9.140625" style="277"/>
    <col min="3072" max="3072" width="13.42578125" style="277" customWidth="1"/>
    <col min="3073" max="3073" width="19.42578125" style="277" customWidth="1"/>
    <col min="3074" max="3074" width="13.5703125" style="277" customWidth="1"/>
    <col min="3075" max="3075" width="24.5703125" style="277" customWidth="1"/>
    <col min="3076" max="3076" width="11.28515625" style="277" bestFit="1" customWidth="1"/>
    <col min="3077" max="3313" width="9.140625" style="277"/>
    <col min="3314" max="3314" width="64.5703125" style="277" customWidth="1"/>
    <col min="3315" max="3315" width="8.42578125" style="277" customWidth="1"/>
    <col min="3316" max="3316" width="9.7109375" style="277" bestFit="1" customWidth="1"/>
    <col min="3317" max="3317" width="3" style="277" customWidth="1"/>
    <col min="3318" max="3318" width="3.28515625" style="277" customWidth="1"/>
    <col min="3319" max="3320" width="2.85546875" style="277" customWidth="1"/>
    <col min="3321" max="3321" width="3" style="277" customWidth="1"/>
    <col min="3322" max="3322" width="2.5703125" style="277" customWidth="1"/>
    <col min="3323" max="3323" width="3" style="277" customWidth="1"/>
    <col min="3324" max="3324" width="2.7109375" style="277" customWidth="1"/>
    <col min="3325" max="3325" width="2.42578125" style="277" customWidth="1"/>
    <col min="3326" max="3326" width="13.85546875" style="277" bestFit="1" customWidth="1"/>
    <col min="3327" max="3327" width="9.140625" style="277"/>
    <col min="3328" max="3328" width="13.42578125" style="277" customWidth="1"/>
    <col min="3329" max="3329" width="19.42578125" style="277" customWidth="1"/>
    <col min="3330" max="3330" width="13.5703125" style="277" customWidth="1"/>
    <col min="3331" max="3331" width="24.5703125" style="277" customWidth="1"/>
    <col min="3332" max="3332" width="11.28515625" style="277" bestFit="1" customWidth="1"/>
    <col min="3333" max="3569" width="9.140625" style="277"/>
    <col min="3570" max="3570" width="64.5703125" style="277" customWidth="1"/>
    <col min="3571" max="3571" width="8.42578125" style="277" customWidth="1"/>
    <col min="3572" max="3572" width="9.7109375" style="277" bestFit="1" customWidth="1"/>
    <col min="3573" max="3573" width="3" style="277" customWidth="1"/>
    <col min="3574" max="3574" width="3.28515625" style="277" customWidth="1"/>
    <col min="3575" max="3576" width="2.85546875" style="277" customWidth="1"/>
    <col min="3577" max="3577" width="3" style="277" customWidth="1"/>
    <col min="3578" max="3578" width="2.5703125" style="277" customWidth="1"/>
    <col min="3579" max="3579" width="3" style="277" customWidth="1"/>
    <col min="3580" max="3580" width="2.7109375" style="277" customWidth="1"/>
    <col min="3581" max="3581" width="2.42578125" style="277" customWidth="1"/>
    <col min="3582" max="3582" width="13.85546875" style="277" bestFit="1" customWidth="1"/>
    <col min="3583" max="3583" width="9.140625" style="277"/>
    <col min="3584" max="3584" width="13.42578125" style="277" customWidth="1"/>
    <col min="3585" max="3585" width="19.42578125" style="277" customWidth="1"/>
    <col min="3586" max="3586" width="13.5703125" style="277" customWidth="1"/>
    <col min="3587" max="3587" width="24.5703125" style="277" customWidth="1"/>
    <col min="3588" max="3588" width="11.28515625" style="277" bestFit="1" customWidth="1"/>
    <col min="3589" max="3825" width="9.140625" style="277"/>
    <col min="3826" max="3826" width="64.5703125" style="277" customWidth="1"/>
    <col min="3827" max="3827" width="8.42578125" style="277" customWidth="1"/>
    <col min="3828" max="3828" width="9.7109375" style="277" bestFit="1" customWidth="1"/>
    <col min="3829" max="3829" width="3" style="277" customWidth="1"/>
    <col min="3830" max="3830" width="3.28515625" style="277" customWidth="1"/>
    <col min="3831" max="3832" width="2.85546875" style="277" customWidth="1"/>
    <col min="3833" max="3833" width="3" style="277" customWidth="1"/>
    <col min="3834" max="3834" width="2.5703125" style="277" customWidth="1"/>
    <col min="3835" max="3835" width="3" style="277" customWidth="1"/>
    <col min="3836" max="3836" width="2.7109375" style="277" customWidth="1"/>
    <col min="3837" max="3837" width="2.42578125" style="277" customWidth="1"/>
    <col min="3838" max="3838" width="13.85546875" style="277" bestFit="1" customWidth="1"/>
    <col min="3839" max="3839" width="9.140625" style="277"/>
    <col min="3840" max="3840" width="13.42578125" style="277" customWidth="1"/>
    <col min="3841" max="3841" width="19.42578125" style="277" customWidth="1"/>
    <col min="3842" max="3842" width="13.5703125" style="277" customWidth="1"/>
    <col min="3843" max="3843" width="24.5703125" style="277" customWidth="1"/>
    <col min="3844" max="3844" width="11.28515625" style="277" bestFit="1" customWidth="1"/>
    <col min="3845" max="4081" width="9.140625" style="277"/>
    <col min="4082" max="4082" width="64.5703125" style="277" customWidth="1"/>
    <col min="4083" max="4083" width="8.42578125" style="277" customWidth="1"/>
    <col min="4084" max="4084" width="9.7109375" style="277" bestFit="1" customWidth="1"/>
    <col min="4085" max="4085" width="3" style="277" customWidth="1"/>
    <col min="4086" max="4086" width="3.28515625" style="277" customWidth="1"/>
    <col min="4087" max="4088" width="2.85546875" style="277" customWidth="1"/>
    <col min="4089" max="4089" width="3" style="277" customWidth="1"/>
    <col min="4090" max="4090" width="2.5703125" style="277" customWidth="1"/>
    <col min="4091" max="4091" width="3" style="277" customWidth="1"/>
    <col min="4092" max="4092" width="2.7109375" style="277" customWidth="1"/>
    <col min="4093" max="4093" width="2.42578125" style="277" customWidth="1"/>
    <col min="4094" max="4094" width="13.85546875" style="277" bestFit="1" customWidth="1"/>
    <col min="4095" max="4095" width="9.140625" style="277"/>
    <col min="4096" max="4096" width="13.42578125" style="277" customWidth="1"/>
    <col min="4097" max="4097" width="19.42578125" style="277" customWidth="1"/>
    <col min="4098" max="4098" width="13.5703125" style="277" customWidth="1"/>
    <col min="4099" max="4099" width="24.5703125" style="277" customWidth="1"/>
    <col min="4100" max="4100" width="11.28515625" style="277" bestFit="1" customWidth="1"/>
    <col min="4101" max="4337" width="9.140625" style="277"/>
    <col min="4338" max="4338" width="64.5703125" style="277" customWidth="1"/>
    <col min="4339" max="4339" width="8.42578125" style="277" customWidth="1"/>
    <col min="4340" max="4340" width="9.7109375" style="277" bestFit="1" customWidth="1"/>
    <col min="4341" max="4341" width="3" style="277" customWidth="1"/>
    <col min="4342" max="4342" width="3.28515625" style="277" customWidth="1"/>
    <col min="4343" max="4344" width="2.85546875" style="277" customWidth="1"/>
    <col min="4345" max="4345" width="3" style="277" customWidth="1"/>
    <col min="4346" max="4346" width="2.5703125" style="277" customWidth="1"/>
    <col min="4347" max="4347" width="3" style="277" customWidth="1"/>
    <col min="4348" max="4348" width="2.7109375" style="277" customWidth="1"/>
    <col min="4349" max="4349" width="2.42578125" style="277" customWidth="1"/>
    <col min="4350" max="4350" width="13.85546875" style="277" bestFit="1" customWidth="1"/>
    <col min="4351" max="4351" width="9.140625" style="277"/>
    <col min="4352" max="4352" width="13.42578125" style="277" customWidth="1"/>
    <col min="4353" max="4353" width="19.42578125" style="277" customWidth="1"/>
    <col min="4354" max="4354" width="13.5703125" style="277" customWidth="1"/>
    <col min="4355" max="4355" width="24.5703125" style="277" customWidth="1"/>
    <col min="4356" max="4356" width="11.28515625" style="277" bestFit="1" customWidth="1"/>
    <col min="4357" max="4593" width="9.140625" style="277"/>
    <col min="4594" max="4594" width="64.5703125" style="277" customWidth="1"/>
    <col min="4595" max="4595" width="8.42578125" style="277" customWidth="1"/>
    <col min="4596" max="4596" width="9.7109375" style="277" bestFit="1" customWidth="1"/>
    <col min="4597" max="4597" width="3" style="277" customWidth="1"/>
    <col min="4598" max="4598" width="3.28515625" style="277" customWidth="1"/>
    <col min="4599" max="4600" width="2.85546875" style="277" customWidth="1"/>
    <col min="4601" max="4601" width="3" style="277" customWidth="1"/>
    <col min="4602" max="4602" width="2.5703125" style="277" customWidth="1"/>
    <col min="4603" max="4603" width="3" style="277" customWidth="1"/>
    <col min="4604" max="4604" width="2.7109375" style="277" customWidth="1"/>
    <col min="4605" max="4605" width="2.42578125" style="277" customWidth="1"/>
    <col min="4606" max="4606" width="13.85546875" style="277" bestFit="1" customWidth="1"/>
    <col min="4607" max="4607" width="9.140625" style="277"/>
    <col min="4608" max="4608" width="13.42578125" style="277" customWidth="1"/>
    <col min="4609" max="4609" width="19.42578125" style="277" customWidth="1"/>
    <col min="4610" max="4610" width="13.5703125" style="277" customWidth="1"/>
    <col min="4611" max="4611" width="24.5703125" style="277" customWidth="1"/>
    <col min="4612" max="4612" width="11.28515625" style="277" bestFit="1" customWidth="1"/>
    <col min="4613" max="4849" width="9.140625" style="277"/>
    <col min="4850" max="4850" width="64.5703125" style="277" customWidth="1"/>
    <col min="4851" max="4851" width="8.42578125" style="277" customWidth="1"/>
    <col min="4852" max="4852" width="9.7109375" style="277" bestFit="1" customWidth="1"/>
    <col min="4853" max="4853" width="3" style="277" customWidth="1"/>
    <col min="4854" max="4854" width="3.28515625" style="277" customWidth="1"/>
    <col min="4855" max="4856" width="2.85546875" style="277" customWidth="1"/>
    <col min="4857" max="4857" width="3" style="277" customWidth="1"/>
    <col min="4858" max="4858" width="2.5703125" style="277" customWidth="1"/>
    <col min="4859" max="4859" width="3" style="277" customWidth="1"/>
    <col min="4860" max="4860" width="2.7109375" style="277" customWidth="1"/>
    <col min="4861" max="4861" width="2.42578125" style="277" customWidth="1"/>
    <col min="4862" max="4862" width="13.85546875" style="277" bestFit="1" customWidth="1"/>
    <col min="4863" max="4863" width="9.140625" style="277"/>
    <col min="4864" max="4864" width="13.42578125" style="277" customWidth="1"/>
    <col min="4865" max="4865" width="19.42578125" style="277" customWidth="1"/>
    <col min="4866" max="4866" width="13.5703125" style="277" customWidth="1"/>
    <col min="4867" max="4867" width="24.5703125" style="277" customWidth="1"/>
    <col min="4868" max="4868" width="11.28515625" style="277" bestFit="1" customWidth="1"/>
    <col min="4869" max="5105" width="9.140625" style="277"/>
    <col min="5106" max="5106" width="64.5703125" style="277" customWidth="1"/>
    <col min="5107" max="5107" width="8.42578125" style="277" customWidth="1"/>
    <col min="5108" max="5108" width="9.7109375" style="277" bestFit="1" customWidth="1"/>
    <col min="5109" max="5109" width="3" style="277" customWidth="1"/>
    <col min="5110" max="5110" width="3.28515625" style="277" customWidth="1"/>
    <col min="5111" max="5112" width="2.85546875" style="277" customWidth="1"/>
    <col min="5113" max="5113" width="3" style="277" customWidth="1"/>
    <col min="5114" max="5114" width="2.5703125" style="277" customWidth="1"/>
    <col min="5115" max="5115" width="3" style="277" customWidth="1"/>
    <col min="5116" max="5116" width="2.7109375" style="277" customWidth="1"/>
    <col min="5117" max="5117" width="2.42578125" style="277" customWidth="1"/>
    <col min="5118" max="5118" width="13.85546875" style="277" bestFit="1" customWidth="1"/>
    <col min="5119" max="5119" width="9.140625" style="277"/>
    <col min="5120" max="5120" width="13.42578125" style="277" customWidth="1"/>
    <col min="5121" max="5121" width="19.42578125" style="277" customWidth="1"/>
    <col min="5122" max="5122" width="13.5703125" style="277" customWidth="1"/>
    <col min="5123" max="5123" width="24.5703125" style="277" customWidth="1"/>
    <col min="5124" max="5124" width="11.28515625" style="277" bestFit="1" customWidth="1"/>
    <col min="5125" max="5361" width="9.140625" style="277"/>
    <col min="5362" max="5362" width="64.5703125" style="277" customWidth="1"/>
    <col min="5363" max="5363" width="8.42578125" style="277" customWidth="1"/>
    <col min="5364" max="5364" width="9.7109375" style="277" bestFit="1" customWidth="1"/>
    <col min="5365" max="5365" width="3" style="277" customWidth="1"/>
    <col min="5366" max="5366" width="3.28515625" style="277" customWidth="1"/>
    <col min="5367" max="5368" width="2.85546875" style="277" customWidth="1"/>
    <col min="5369" max="5369" width="3" style="277" customWidth="1"/>
    <col min="5370" max="5370" width="2.5703125" style="277" customWidth="1"/>
    <col min="5371" max="5371" width="3" style="277" customWidth="1"/>
    <col min="5372" max="5372" width="2.7109375" style="277" customWidth="1"/>
    <col min="5373" max="5373" width="2.42578125" style="277" customWidth="1"/>
    <col min="5374" max="5374" width="13.85546875" style="277" bestFit="1" customWidth="1"/>
    <col min="5375" max="5375" width="9.140625" style="277"/>
    <col min="5376" max="5376" width="13.42578125" style="277" customWidth="1"/>
    <col min="5377" max="5377" width="19.42578125" style="277" customWidth="1"/>
    <col min="5378" max="5378" width="13.5703125" style="277" customWidth="1"/>
    <col min="5379" max="5379" width="24.5703125" style="277" customWidth="1"/>
    <col min="5380" max="5380" width="11.28515625" style="277" bestFit="1" customWidth="1"/>
    <col min="5381" max="5617" width="9.140625" style="277"/>
    <col min="5618" max="5618" width="64.5703125" style="277" customWidth="1"/>
    <col min="5619" max="5619" width="8.42578125" style="277" customWidth="1"/>
    <col min="5620" max="5620" width="9.7109375" style="277" bestFit="1" customWidth="1"/>
    <col min="5621" max="5621" width="3" style="277" customWidth="1"/>
    <col min="5622" max="5622" width="3.28515625" style="277" customWidth="1"/>
    <col min="5623" max="5624" width="2.85546875" style="277" customWidth="1"/>
    <col min="5625" max="5625" width="3" style="277" customWidth="1"/>
    <col min="5626" max="5626" width="2.5703125" style="277" customWidth="1"/>
    <col min="5627" max="5627" width="3" style="277" customWidth="1"/>
    <col min="5628" max="5628" width="2.7109375" style="277" customWidth="1"/>
    <col min="5629" max="5629" width="2.42578125" style="277" customWidth="1"/>
    <col min="5630" max="5630" width="13.85546875" style="277" bestFit="1" customWidth="1"/>
    <col min="5631" max="5631" width="9.140625" style="277"/>
    <col min="5632" max="5632" width="13.42578125" style="277" customWidth="1"/>
    <col min="5633" max="5633" width="19.42578125" style="277" customWidth="1"/>
    <col min="5634" max="5634" width="13.5703125" style="277" customWidth="1"/>
    <col min="5635" max="5635" width="24.5703125" style="277" customWidth="1"/>
    <col min="5636" max="5636" width="11.28515625" style="277" bestFit="1" customWidth="1"/>
    <col min="5637" max="5873" width="9.140625" style="277"/>
    <col min="5874" max="5874" width="64.5703125" style="277" customWidth="1"/>
    <col min="5875" max="5875" width="8.42578125" style="277" customWidth="1"/>
    <col min="5876" max="5876" width="9.7109375" style="277" bestFit="1" customWidth="1"/>
    <col min="5877" max="5877" width="3" style="277" customWidth="1"/>
    <col min="5878" max="5878" width="3.28515625" style="277" customWidth="1"/>
    <col min="5879" max="5880" width="2.85546875" style="277" customWidth="1"/>
    <col min="5881" max="5881" width="3" style="277" customWidth="1"/>
    <col min="5882" max="5882" width="2.5703125" style="277" customWidth="1"/>
    <col min="5883" max="5883" width="3" style="277" customWidth="1"/>
    <col min="5884" max="5884" width="2.7109375" style="277" customWidth="1"/>
    <col min="5885" max="5885" width="2.42578125" style="277" customWidth="1"/>
    <col min="5886" max="5886" width="13.85546875" style="277" bestFit="1" customWidth="1"/>
    <col min="5887" max="5887" width="9.140625" style="277"/>
    <col min="5888" max="5888" width="13.42578125" style="277" customWidth="1"/>
    <col min="5889" max="5889" width="19.42578125" style="277" customWidth="1"/>
    <col min="5890" max="5890" width="13.5703125" style="277" customWidth="1"/>
    <col min="5891" max="5891" width="24.5703125" style="277" customWidth="1"/>
    <col min="5892" max="5892" width="11.28515625" style="277" bestFit="1" customWidth="1"/>
    <col min="5893" max="6129" width="9.140625" style="277"/>
    <col min="6130" max="6130" width="64.5703125" style="277" customWidth="1"/>
    <col min="6131" max="6131" width="8.42578125" style="277" customWidth="1"/>
    <col min="6132" max="6132" width="9.7109375" style="277" bestFit="1" customWidth="1"/>
    <col min="6133" max="6133" width="3" style="277" customWidth="1"/>
    <col min="6134" max="6134" width="3.28515625" style="277" customWidth="1"/>
    <col min="6135" max="6136" width="2.85546875" style="277" customWidth="1"/>
    <col min="6137" max="6137" width="3" style="277" customWidth="1"/>
    <col min="6138" max="6138" width="2.5703125" style="277" customWidth="1"/>
    <col min="6139" max="6139" width="3" style="277" customWidth="1"/>
    <col min="6140" max="6140" width="2.7109375" style="277" customWidth="1"/>
    <col min="6141" max="6141" width="2.42578125" style="277" customWidth="1"/>
    <col min="6142" max="6142" width="13.85546875" style="277" bestFit="1" customWidth="1"/>
    <col min="6143" max="6143" width="9.140625" style="277"/>
    <col min="6144" max="6144" width="13.42578125" style="277" customWidth="1"/>
    <col min="6145" max="6145" width="19.42578125" style="277" customWidth="1"/>
    <col min="6146" max="6146" width="13.5703125" style="277" customWidth="1"/>
    <col min="6147" max="6147" width="24.5703125" style="277" customWidth="1"/>
    <col min="6148" max="6148" width="11.28515625" style="277" bestFit="1" customWidth="1"/>
    <col min="6149" max="6385" width="9.140625" style="277"/>
    <col min="6386" max="6386" width="64.5703125" style="277" customWidth="1"/>
    <col min="6387" max="6387" width="8.42578125" style="277" customWidth="1"/>
    <col min="6388" max="6388" width="9.7109375" style="277" bestFit="1" customWidth="1"/>
    <col min="6389" max="6389" width="3" style="277" customWidth="1"/>
    <col min="6390" max="6390" width="3.28515625" style="277" customWidth="1"/>
    <col min="6391" max="6392" width="2.85546875" style="277" customWidth="1"/>
    <col min="6393" max="6393" width="3" style="277" customWidth="1"/>
    <col min="6394" max="6394" width="2.5703125" style="277" customWidth="1"/>
    <col min="6395" max="6395" width="3" style="277" customWidth="1"/>
    <col min="6396" max="6396" width="2.7109375" style="277" customWidth="1"/>
    <col min="6397" max="6397" width="2.42578125" style="277" customWidth="1"/>
    <col min="6398" max="6398" width="13.85546875" style="277" bestFit="1" customWidth="1"/>
    <col min="6399" max="6399" width="9.140625" style="277"/>
    <col min="6400" max="6400" width="13.42578125" style="277" customWidth="1"/>
    <col min="6401" max="6401" width="19.42578125" style="277" customWidth="1"/>
    <col min="6402" max="6402" width="13.5703125" style="277" customWidth="1"/>
    <col min="6403" max="6403" width="24.5703125" style="277" customWidth="1"/>
    <col min="6404" max="6404" width="11.28515625" style="277" bestFit="1" customWidth="1"/>
    <col min="6405" max="6641" width="9.140625" style="277"/>
    <col min="6642" max="6642" width="64.5703125" style="277" customWidth="1"/>
    <col min="6643" max="6643" width="8.42578125" style="277" customWidth="1"/>
    <col min="6644" max="6644" width="9.7109375" style="277" bestFit="1" customWidth="1"/>
    <col min="6645" max="6645" width="3" style="277" customWidth="1"/>
    <col min="6646" max="6646" width="3.28515625" style="277" customWidth="1"/>
    <col min="6647" max="6648" width="2.85546875" style="277" customWidth="1"/>
    <col min="6649" max="6649" width="3" style="277" customWidth="1"/>
    <col min="6650" max="6650" width="2.5703125" style="277" customWidth="1"/>
    <col min="6651" max="6651" width="3" style="277" customWidth="1"/>
    <col min="6652" max="6652" width="2.7109375" style="277" customWidth="1"/>
    <col min="6653" max="6653" width="2.42578125" style="277" customWidth="1"/>
    <col min="6654" max="6654" width="13.85546875" style="277" bestFit="1" customWidth="1"/>
    <col min="6655" max="6655" width="9.140625" style="277"/>
    <col min="6656" max="6656" width="13.42578125" style="277" customWidth="1"/>
    <col min="6657" max="6657" width="19.42578125" style="277" customWidth="1"/>
    <col min="6658" max="6658" width="13.5703125" style="277" customWidth="1"/>
    <col min="6659" max="6659" width="24.5703125" style="277" customWidth="1"/>
    <col min="6660" max="6660" width="11.28515625" style="277" bestFit="1" customWidth="1"/>
    <col min="6661" max="6897" width="9.140625" style="277"/>
    <col min="6898" max="6898" width="64.5703125" style="277" customWidth="1"/>
    <col min="6899" max="6899" width="8.42578125" style="277" customWidth="1"/>
    <col min="6900" max="6900" width="9.7109375" style="277" bestFit="1" customWidth="1"/>
    <col min="6901" max="6901" width="3" style="277" customWidth="1"/>
    <col min="6902" max="6902" width="3.28515625" style="277" customWidth="1"/>
    <col min="6903" max="6904" width="2.85546875" style="277" customWidth="1"/>
    <col min="6905" max="6905" width="3" style="277" customWidth="1"/>
    <col min="6906" max="6906" width="2.5703125" style="277" customWidth="1"/>
    <col min="6907" max="6907" width="3" style="277" customWidth="1"/>
    <col min="6908" max="6908" width="2.7109375" style="277" customWidth="1"/>
    <col min="6909" max="6909" width="2.42578125" style="277" customWidth="1"/>
    <col min="6910" max="6910" width="13.85546875" style="277" bestFit="1" customWidth="1"/>
    <col min="6911" max="6911" width="9.140625" style="277"/>
    <col min="6912" max="6912" width="13.42578125" style="277" customWidth="1"/>
    <col min="6913" max="6913" width="19.42578125" style="277" customWidth="1"/>
    <col min="6914" max="6914" width="13.5703125" style="277" customWidth="1"/>
    <col min="6915" max="6915" width="24.5703125" style="277" customWidth="1"/>
    <col min="6916" max="6916" width="11.28515625" style="277" bestFit="1" customWidth="1"/>
    <col min="6917" max="7153" width="9.140625" style="277"/>
    <col min="7154" max="7154" width="64.5703125" style="277" customWidth="1"/>
    <col min="7155" max="7155" width="8.42578125" style="277" customWidth="1"/>
    <col min="7156" max="7156" width="9.7109375" style="277" bestFit="1" customWidth="1"/>
    <col min="7157" max="7157" width="3" style="277" customWidth="1"/>
    <col min="7158" max="7158" width="3.28515625" style="277" customWidth="1"/>
    <col min="7159" max="7160" width="2.85546875" style="277" customWidth="1"/>
    <col min="7161" max="7161" width="3" style="277" customWidth="1"/>
    <col min="7162" max="7162" width="2.5703125" style="277" customWidth="1"/>
    <col min="7163" max="7163" width="3" style="277" customWidth="1"/>
    <col min="7164" max="7164" width="2.7109375" style="277" customWidth="1"/>
    <col min="7165" max="7165" width="2.42578125" style="277" customWidth="1"/>
    <col min="7166" max="7166" width="13.85546875" style="277" bestFit="1" customWidth="1"/>
    <col min="7167" max="7167" width="9.140625" style="277"/>
    <col min="7168" max="7168" width="13.42578125" style="277" customWidth="1"/>
    <col min="7169" max="7169" width="19.42578125" style="277" customWidth="1"/>
    <col min="7170" max="7170" width="13.5703125" style="277" customWidth="1"/>
    <col min="7171" max="7171" width="24.5703125" style="277" customWidth="1"/>
    <col min="7172" max="7172" width="11.28515625" style="277" bestFit="1" customWidth="1"/>
    <col min="7173" max="7409" width="9.140625" style="277"/>
    <col min="7410" max="7410" width="64.5703125" style="277" customWidth="1"/>
    <col min="7411" max="7411" width="8.42578125" style="277" customWidth="1"/>
    <col min="7412" max="7412" width="9.7109375" style="277" bestFit="1" customWidth="1"/>
    <col min="7413" max="7413" width="3" style="277" customWidth="1"/>
    <col min="7414" max="7414" width="3.28515625" style="277" customWidth="1"/>
    <col min="7415" max="7416" width="2.85546875" style="277" customWidth="1"/>
    <col min="7417" max="7417" width="3" style="277" customWidth="1"/>
    <col min="7418" max="7418" width="2.5703125" style="277" customWidth="1"/>
    <col min="7419" max="7419" width="3" style="277" customWidth="1"/>
    <col min="7420" max="7420" width="2.7109375" style="277" customWidth="1"/>
    <col min="7421" max="7421" width="2.42578125" style="277" customWidth="1"/>
    <col min="7422" max="7422" width="13.85546875" style="277" bestFit="1" customWidth="1"/>
    <col min="7423" max="7423" width="9.140625" style="277"/>
    <col min="7424" max="7424" width="13.42578125" style="277" customWidth="1"/>
    <col min="7425" max="7425" width="19.42578125" style="277" customWidth="1"/>
    <col min="7426" max="7426" width="13.5703125" style="277" customWidth="1"/>
    <col min="7427" max="7427" width="24.5703125" style="277" customWidth="1"/>
    <col min="7428" max="7428" width="11.28515625" style="277" bestFit="1" customWidth="1"/>
    <col min="7429" max="7665" width="9.140625" style="277"/>
    <col min="7666" max="7666" width="64.5703125" style="277" customWidth="1"/>
    <col min="7667" max="7667" width="8.42578125" style="277" customWidth="1"/>
    <col min="7668" max="7668" width="9.7109375" style="277" bestFit="1" customWidth="1"/>
    <col min="7669" max="7669" width="3" style="277" customWidth="1"/>
    <col min="7670" max="7670" width="3.28515625" style="277" customWidth="1"/>
    <col min="7671" max="7672" width="2.85546875" style="277" customWidth="1"/>
    <col min="7673" max="7673" width="3" style="277" customWidth="1"/>
    <col min="7674" max="7674" width="2.5703125" style="277" customWidth="1"/>
    <col min="7675" max="7675" width="3" style="277" customWidth="1"/>
    <col min="7676" max="7676" width="2.7109375" style="277" customWidth="1"/>
    <col min="7677" max="7677" width="2.42578125" style="277" customWidth="1"/>
    <col min="7678" max="7678" width="13.85546875" style="277" bestFit="1" customWidth="1"/>
    <col min="7679" max="7679" width="9.140625" style="277"/>
    <col min="7680" max="7680" width="13.42578125" style="277" customWidth="1"/>
    <col min="7681" max="7681" width="19.42578125" style="277" customWidth="1"/>
    <col min="7682" max="7682" width="13.5703125" style="277" customWidth="1"/>
    <col min="7683" max="7683" width="24.5703125" style="277" customWidth="1"/>
    <col min="7684" max="7684" width="11.28515625" style="277" bestFit="1" customWidth="1"/>
    <col min="7685" max="7921" width="9.140625" style="277"/>
    <col min="7922" max="7922" width="64.5703125" style="277" customWidth="1"/>
    <col min="7923" max="7923" width="8.42578125" style="277" customWidth="1"/>
    <col min="7924" max="7924" width="9.7109375" style="277" bestFit="1" customWidth="1"/>
    <col min="7925" max="7925" width="3" style="277" customWidth="1"/>
    <col min="7926" max="7926" width="3.28515625" style="277" customWidth="1"/>
    <col min="7927" max="7928" width="2.85546875" style="277" customWidth="1"/>
    <col min="7929" max="7929" width="3" style="277" customWidth="1"/>
    <col min="7930" max="7930" width="2.5703125" style="277" customWidth="1"/>
    <col min="7931" max="7931" width="3" style="277" customWidth="1"/>
    <col min="7932" max="7932" width="2.7109375" style="277" customWidth="1"/>
    <col min="7933" max="7933" width="2.42578125" style="277" customWidth="1"/>
    <col min="7934" max="7934" width="13.85546875" style="277" bestFit="1" customWidth="1"/>
    <col min="7935" max="7935" width="9.140625" style="277"/>
    <col min="7936" max="7936" width="13.42578125" style="277" customWidth="1"/>
    <col min="7937" max="7937" width="19.42578125" style="277" customWidth="1"/>
    <col min="7938" max="7938" width="13.5703125" style="277" customWidth="1"/>
    <col min="7939" max="7939" width="24.5703125" style="277" customWidth="1"/>
    <col min="7940" max="7940" width="11.28515625" style="277" bestFit="1" customWidth="1"/>
    <col min="7941" max="8177" width="9.140625" style="277"/>
    <col min="8178" max="8178" width="64.5703125" style="277" customWidth="1"/>
    <col min="8179" max="8179" width="8.42578125" style="277" customWidth="1"/>
    <col min="8180" max="8180" width="9.7109375" style="277" bestFit="1" customWidth="1"/>
    <col min="8181" max="8181" width="3" style="277" customWidth="1"/>
    <col min="8182" max="8182" width="3.28515625" style="277" customWidth="1"/>
    <col min="8183" max="8184" width="2.85546875" style="277" customWidth="1"/>
    <col min="8185" max="8185" width="3" style="277" customWidth="1"/>
    <col min="8186" max="8186" width="2.5703125" style="277" customWidth="1"/>
    <col min="8187" max="8187" width="3" style="277" customWidth="1"/>
    <col min="8188" max="8188" width="2.7109375" style="277" customWidth="1"/>
    <col min="8189" max="8189" width="2.42578125" style="277" customWidth="1"/>
    <col min="8190" max="8190" width="13.85546875" style="277" bestFit="1" customWidth="1"/>
    <col min="8191" max="8191" width="9.140625" style="277"/>
    <col min="8192" max="8192" width="13.42578125" style="277" customWidth="1"/>
    <col min="8193" max="8193" width="19.42578125" style="277" customWidth="1"/>
    <col min="8194" max="8194" width="13.5703125" style="277" customWidth="1"/>
    <col min="8195" max="8195" width="24.5703125" style="277" customWidth="1"/>
    <col min="8196" max="8196" width="11.28515625" style="277" bestFit="1" customWidth="1"/>
    <col min="8197" max="8433" width="9.140625" style="277"/>
    <col min="8434" max="8434" width="64.5703125" style="277" customWidth="1"/>
    <col min="8435" max="8435" width="8.42578125" style="277" customWidth="1"/>
    <col min="8436" max="8436" width="9.7109375" style="277" bestFit="1" customWidth="1"/>
    <col min="8437" max="8437" width="3" style="277" customWidth="1"/>
    <col min="8438" max="8438" width="3.28515625" style="277" customWidth="1"/>
    <col min="8439" max="8440" width="2.85546875" style="277" customWidth="1"/>
    <col min="8441" max="8441" width="3" style="277" customWidth="1"/>
    <col min="8442" max="8442" width="2.5703125" style="277" customWidth="1"/>
    <col min="8443" max="8443" width="3" style="277" customWidth="1"/>
    <col min="8444" max="8444" width="2.7109375" style="277" customWidth="1"/>
    <col min="8445" max="8445" width="2.42578125" style="277" customWidth="1"/>
    <col min="8446" max="8446" width="13.85546875" style="277" bestFit="1" customWidth="1"/>
    <col min="8447" max="8447" width="9.140625" style="277"/>
    <col min="8448" max="8448" width="13.42578125" style="277" customWidth="1"/>
    <col min="8449" max="8449" width="19.42578125" style="277" customWidth="1"/>
    <col min="8450" max="8450" width="13.5703125" style="277" customWidth="1"/>
    <col min="8451" max="8451" width="24.5703125" style="277" customWidth="1"/>
    <col min="8452" max="8452" width="11.28515625" style="277" bestFit="1" customWidth="1"/>
    <col min="8453" max="8689" width="9.140625" style="277"/>
    <col min="8690" max="8690" width="64.5703125" style="277" customWidth="1"/>
    <col min="8691" max="8691" width="8.42578125" style="277" customWidth="1"/>
    <col min="8692" max="8692" width="9.7109375" style="277" bestFit="1" customWidth="1"/>
    <col min="8693" max="8693" width="3" style="277" customWidth="1"/>
    <col min="8694" max="8694" width="3.28515625" style="277" customWidth="1"/>
    <col min="8695" max="8696" width="2.85546875" style="277" customWidth="1"/>
    <col min="8697" max="8697" width="3" style="277" customWidth="1"/>
    <col min="8698" max="8698" width="2.5703125" style="277" customWidth="1"/>
    <col min="8699" max="8699" width="3" style="277" customWidth="1"/>
    <col min="8700" max="8700" width="2.7109375" style="277" customWidth="1"/>
    <col min="8701" max="8701" width="2.42578125" style="277" customWidth="1"/>
    <col min="8702" max="8702" width="13.85546875" style="277" bestFit="1" customWidth="1"/>
    <col min="8703" max="8703" width="9.140625" style="277"/>
    <col min="8704" max="8704" width="13.42578125" style="277" customWidth="1"/>
    <col min="8705" max="8705" width="19.42578125" style="277" customWidth="1"/>
    <col min="8706" max="8706" width="13.5703125" style="277" customWidth="1"/>
    <col min="8707" max="8707" width="24.5703125" style="277" customWidth="1"/>
    <col min="8708" max="8708" width="11.28515625" style="277" bestFit="1" customWidth="1"/>
    <col min="8709" max="8945" width="9.140625" style="277"/>
    <col min="8946" max="8946" width="64.5703125" style="277" customWidth="1"/>
    <col min="8947" max="8947" width="8.42578125" style="277" customWidth="1"/>
    <col min="8948" max="8948" width="9.7109375" style="277" bestFit="1" customWidth="1"/>
    <col min="8949" max="8949" width="3" style="277" customWidth="1"/>
    <col min="8950" max="8950" width="3.28515625" style="277" customWidth="1"/>
    <col min="8951" max="8952" width="2.85546875" style="277" customWidth="1"/>
    <col min="8953" max="8953" width="3" style="277" customWidth="1"/>
    <col min="8954" max="8954" width="2.5703125" style="277" customWidth="1"/>
    <col min="8955" max="8955" width="3" style="277" customWidth="1"/>
    <col min="8956" max="8956" width="2.7109375" style="277" customWidth="1"/>
    <col min="8957" max="8957" width="2.42578125" style="277" customWidth="1"/>
    <col min="8958" max="8958" width="13.85546875" style="277" bestFit="1" customWidth="1"/>
    <col min="8959" max="8959" width="9.140625" style="277"/>
    <col min="8960" max="8960" width="13.42578125" style="277" customWidth="1"/>
    <col min="8961" max="8961" width="19.42578125" style="277" customWidth="1"/>
    <col min="8962" max="8962" width="13.5703125" style="277" customWidth="1"/>
    <col min="8963" max="8963" width="24.5703125" style="277" customWidth="1"/>
    <col min="8964" max="8964" width="11.28515625" style="277" bestFit="1" customWidth="1"/>
    <col min="8965" max="9201" width="9.140625" style="277"/>
    <col min="9202" max="9202" width="64.5703125" style="277" customWidth="1"/>
    <col min="9203" max="9203" width="8.42578125" style="277" customWidth="1"/>
    <col min="9204" max="9204" width="9.7109375" style="277" bestFit="1" customWidth="1"/>
    <col min="9205" max="9205" width="3" style="277" customWidth="1"/>
    <col min="9206" max="9206" width="3.28515625" style="277" customWidth="1"/>
    <col min="9207" max="9208" width="2.85546875" style="277" customWidth="1"/>
    <col min="9209" max="9209" width="3" style="277" customWidth="1"/>
    <col min="9210" max="9210" width="2.5703125" style="277" customWidth="1"/>
    <col min="9211" max="9211" width="3" style="277" customWidth="1"/>
    <col min="9212" max="9212" width="2.7109375" style="277" customWidth="1"/>
    <col min="9213" max="9213" width="2.42578125" style="277" customWidth="1"/>
    <col min="9214" max="9214" width="13.85546875" style="277" bestFit="1" customWidth="1"/>
    <col min="9215" max="9215" width="9.140625" style="277"/>
    <col min="9216" max="9216" width="13.42578125" style="277" customWidth="1"/>
    <col min="9217" max="9217" width="19.42578125" style="277" customWidth="1"/>
    <col min="9218" max="9218" width="13.5703125" style="277" customWidth="1"/>
    <col min="9219" max="9219" width="24.5703125" style="277" customWidth="1"/>
    <col min="9220" max="9220" width="11.28515625" style="277" bestFit="1" customWidth="1"/>
    <col min="9221" max="9457" width="9.140625" style="277"/>
    <col min="9458" max="9458" width="64.5703125" style="277" customWidth="1"/>
    <col min="9459" max="9459" width="8.42578125" style="277" customWidth="1"/>
    <col min="9460" max="9460" width="9.7109375" style="277" bestFit="1" customWidth="1"/>
    <col min="9461" max="9461" width="3" style="277" customWidth="1"/>
    <col min="9462" max="9462" width="3.28515625" style="277" customWidth="1"/>
    <col min="9463" max="9464" width="2.85546875" style="277" customWidth="1"/>
    <col min="9465" max="9465" width="3" style="277" customWidth="1"/>
    <col min="9466" max="9466" width="2.5703125" style="277" customWidth="1"/>
    <col min="9467" max="9467" width="3" style="277" customWidth="1"/>
    <col min="9468" max="9468" width="2.7109375" style="277" customWidth="1"/>
    <col min="9469" max="9469" width="2.42578125" style="277" customWidth="1"/>
    <col min="9470" max="9470" width="13.85546875" style="277" bestFit="1" customWidth="1"/>
    <col min="9471" max="9471" width="9.140625" style="277"/>
    <col min="9472" max="9472" width="13.42578125" style="277" customWidth="1"/>
    <col min="9473" max="9473" width="19.42578125" style="277" customWidth="1"/>
    <col min="9474" max="9474" width="13.5703125" style="277" customWidth="1"/>
    <col min="9475" max="9475" width="24.5703125" style="277" customWidth="1"/>
    <col min="9476" max="9476" width="11.28515625" style="277" bestFit="1" customWidth="1"/>
    <col min="9477" max="9713" width="9.140625" style="277"/>
    <col min="9714" max="9714" width="64.5703125" style="277" customWidth="1"/>
    <col min="9715" max="9715" width="8.42578125" style="277" customWidth="1"/>
    <col min="9716" max="9716" width="9.7109375" style="277" bestFit="1" customWidth="1"/>
    <col min="9717" max="9717" width="3" style="277" customWidth="1"/>
    <col min="9718" max="9718" width="3.28515625" style="277" customWidth="1"/>
    <col min="9719" max="9720" width="2.85546875" style="277" customWidth="1"/>
    <col min="9721" max="9721" width="3" style="277" customWidth="1"/>
    <col min="9722" max="9722" width="2.5703125" style="277" customWidth="1"/>
    <col min="9723" max="9723" width="3" style="277" customWidth="1"/>
    <col min="9724" max="9724" width="2.7109375" style="277" customWidth="1"/>
    <col min="9725" max="9725" width="2.42578125" style="277" customWidth="1"/>
    <col min="9726" max="9726" width="13.85546875" style="277" bestFit="1" customWidth="1"/>
    <col min="9727" max="9727" width="9.140625" style="277"/>
    <col min="9728" max="9728" width="13.42578125" style="277" customWidth="1"/>
    <col min="9729" max="9729" width="19.42578125" style="277" customWidth="1"/>
    <col min="9730" max="9730" width="13.5703125" style="277" customWidth="1"/>
    <col min="9731" max="9731" width="24.5703125" style="277" customWidth="1"/>
    <col min="9732" max="9732" width="11.28515625" style="277" bestFit="1" customWidth="1"/>
    <col min="9733" max="9969" width="9.140625" style="277"/>
    <col min="9970" max="9970" width="64.5703125" style="277" customWidth="1"/>
    <col min="9971" max="9971" width="8.42578125" style="277" customWidth="1"/>
    <col min="9972" max="9972" width="9.7109375" style="277" bestFit="1" customWidth="1"/>
    <col min="9973" max="9973" width="3" style="277" customWidth="1"/>
    <col min="9974" max="9974" width="3.28515625" style="277" customWidth="1"/>
    <col min="9975" max="9976" width="2.85546875" style="277" customWidth="1"/>
    <col min="9977" max="9977" width="3" style="277" customWidth="1"/>
    <col min="9978" max="9978" width="2.5703125" style="277" customWidth="1"/>
    <col min="9979" max="9979" width="3" style="277" customWidth="1"/>
    <col min="9980" max="9980" width="2.7109375" style="277" customWidth="1"/>
    <col min="9981" max="9981" width="2.42578125" style="277" customWidth="1"/>
    <col min="9982" max="9982" width="13.85546875" style="277" bestFit="1" customWidth="1"/>
    <col min="9983" max="9983" width="9.140625" style="277"/>
    <col min="9984" max="9984" width="13.42578125" style="277" customWidth="1"/>
    <col min="9985" max="9985" width="19.42578125" style="277" customWidth="1"/>
    <col min="9986" max="9986" width="13.5703125" style="277" customWidth="1"/>
    <col min="9987" max="9987" width="24.5703125" style="277" customWidth="1"/>
    <col min="9988" max="9988" width="11.28515625" style="277" bestFit="1" customWidth="1"/>
    <col min="9989" max="10225" width="9.140625" style="277"/>
    <col min="10226" max="10226" width="64.5703125" style="277" customWidth="1"/>
    <col min="10227" max="10227" width="8.42578125" style="277" customWidth="1"/>
    <col min="10228" max="10228" width="9.7109375" style="277" bestFit="1" customWidth="1"/>
    <col min="10229" max="10229" width="3" style="277" customWidth="1"/>
    <col min="10230" max="10230" width="3.28515625" style="277" customWidth="1"/>
    <col min="10231" max="10232" width="2.85546875" style="277" customWidth="1"/>
    <col min="10233" max="10233" width="3" style="277" customWidth="1"/>
    <col min="10234" max="10234" width="2.5703125" style="277" customWidth="1"/>
    <col min="10235" max="10235" width="3" style="277" customWidth="1"/>
    <col min="10236" max="10236" width="2.7109375" style="277" customWidth="1"/>
    <col min="10237" max="10237" width="2.42578125" style="277" customWidth="1"/>
    <col min="10238" max="10238" width="13.85546875" style="277" bestFit="1" customWidth="1"/>
    <col min="10239" max="10239" width="9.140625" style="277"/>
    <col min="10240" max="10240" width="13.42578125" style="277" customWidth="1"/>
    <col min="10241" max="10241" width="19.42578125" style="277" customWidth="1"/>
    <col min="10242" max="10242" width="13.5703125" style="277" customWidth="1"/>
    <col min="10243" max="10243" width="24.5703125" style="277" customWidth="1"/>
    <col min="10244" max="10244" width="11.28515625" style="277" bestFit="1" customWidth="1"/>
    <col min="10245" max="10481" width="9.140625" style="277"/>
    <col min="10482" max="10482" width="64.5703125" style="277" customWidth="1"/>
    <col min="10483" max="10483" width="8.42578125" style="277" customWidth="1"/>
    <col min="10484" max="10484" width="9.7109375" style="277" bestFit="1" customWidth="1"/>
    <col min="10485" max="10485" width="3" style="277" customWidth="1"/>
    <col min="10486" max="10486" width="3.28515625" style="277" customWidth="1"/>
    <col min="10487" max="10488" width="2.85546875" style="277" customWidth="1"/>
    <col min="10489" max="10489" width="3" style="277" customWidth="1"/>
    <col min="10490" max="10490" width="2.5703125" style="277" customWidth="1"/>
    <col min="10491" max="10491" width="3" style="277" customWidth="1"/>
    <col min="10492" max="10492" width="2.7109375" style="277" customWidth="1"/>
    <col min="10493" max="10493" width="2.42578125" style="277" customWidth="1"/>
    <col min="10494" max="10494" width="13.85546875" style="277" bestFit="1" customWidth="1"/>
    <col min="10495" max="10495" width="9.140625" style="277"/>
    <col min="10496" max="10496" width="13.42578125" style="277" customWidth="1"/>
    <col min="10497" max="10497" width="19.42578125" style="277" customWidth="1"/>
    <col min="10498" max="10498" width="13.5703125" style="277" customWidth="1"/>
    <col min="10499" max="10499" width="24.5703125" style="277" customWidth="1"/>
    <col min="10500" max="10500" width="11.28515625" style="277" bestFit="1" customWidth="1"/>
    <col min="10501" max="10737" width="9.140625" style="277"/>
    <col min="10738" max="10738" width="64.5703125" style="277" customWidth="1"/>
    <col min="10739" max="10739" width="8.42578125" style="277" customWidth="1"/>
    <col min="10740" max="10740" width="9.7109375" style="277" bestFit="1" customWidth="1"/>
    <col min="10741" max="10741" width="3" style="277" customWidth="1"/>
    <col min="10742" max="10742" width="3.28515625" style="277" customWidth="1"/>
    <col min="10743" max="10744" width="2.85546875" style="277" customWidth="1"/>
    <col min="10745" max="10745" width="3" style="277" customWidth="1"/>
    <col min="10746" max="10746" width="2.5703125" style="277" customWidth="1"/>
    <col min="10747" max="10747" width="3" style="277" customWidth="1"/>
    <col min="10748" max="10748" width="2.7109375" style="277" customWidth="1"/>
    <col min="10749" max="10749" width="2.42578125" style="277" customWidth="1"/>
    <col min="10750" max="10750" width="13.85546875" style="277" bestFit="1" customWidth="1"/>
    <col min="10751" max="10751" width="9.140625" style="277"/>
    <col min="10752" max="10752" width="13.42578125" style="277" customWidth="1"/>
    <col min="10753" max="10753" width="19.42578125" style="277" customWidth="1"/>
    <col min="10754" max="10754" width="13.5703125" style="277" customWidth="1"/>
    <col min="10755" max="10755" width="24.5703125" style="277" customWidth="1"/>
    <col min="10756" max="10756" width="11.28515625" style="277" bestFit="1" customWidth="1"/>
    <col min="10757" max="10993" width="9.140625" style="277"/>
    <col min="10994" max="10994" width="64.5703125" style="277" customWidth="1"/>
    <col min="10995" max="10995" width="8.42578125" style="277" customWidth="1"/>
    <col min="10996" max="10996" width="9.7109375" style="277" bestFit="1" customWidth="1"/>
    <col min="10997" max="10997" width="3" style="277" customWidth="1"/>
    <col min="10998" max="10998" width="3.28515625" style="277" customWidth="1"/>
    <col min="10999" max="11000" width="2.85546875" style="277" customWidth="1"/>
    <col min="11001" max="11001" width="3" style="277" customWidth="1"/>
    <col min="11002" max="11002" width="2.5703125" style="277" customWidth="1"/>
    <col min="11003" max="11003" width="3" style="277" customWidth="1"/>
    <col min="11004" max="11004" width="2.7109375" style="277" customWidth="1"/>
    <col min="11005" max="11005" width="2.42578125" style="277" customWidth="1"/>
    <col min="11006" max="11006" width="13.85546875" style="277" bestFit="1" customWidth="1"/>
    <col min="11007" max="11007" width="9.140625" style="277"/>
    <col min="11008" max="11008" width="13.42578125" style="277" customWidth="1"/>
    <col min="11009" max="11009" width="19.42578125" style="277" customWidth="1"/>
    <col min="11010" max="11010" width="13.5703125" style="277" customWidth="1"/>
    <col min="11011" max="11011" width="24.5703125" style="277" customWidth="1"/>
    <col min="11012" max="11012" width="11.28515625" style="277" bestFit="1" customWidth="1"/>
    <col min="11013" max="11249" width="9.140625" style="277"/>
    <col min="11250" max="11250" width="64.5703125" style="277" customWidth="1"/>
    <col min="11251" max="11251" width="8.42578125" style="277" customWidth="1"/>
    <col min="11252" max="11252" width="9.7109375" style="277" bestFit="1" customWidth="1"/>
    <col min="11253" max="11253" width="3" style="277" customWidth="1"/>
    <col min="11254" max="11254" width="3.28515625" style="277" customWidth="1"/>
    <col min="11255" max="11256" width="2.85546875" style="277" customWidth="1"/>
    <col min="11257" max="11257" width="3" style="277" customWidth="1"/>
    <col min="11258" max="11258" width="2.5703125" style="277" customWidth="1"/>
    <col min="11259" max="11259" width="3" style="277" customWidth="1"/>
    <col min="11260" max="11260" width="2.7109375" style="277" customWidth="1"/>
    <col min="11261" max="11261" width="2.42578125" style="277" customWidth="1"/>
    <col min="11262" max="11262" width="13.85546875" style="277" bestFit="1" customWidth="1"/>
    <col min="11263" max="11263" width="9.140625" style="277"/>
    <col min="11264" max="11264" width="13.42578125" style="277" customWidth="1"/>
    <col min="11265" max="11265" width="19.42578125" style="277" customWidth="1"/>
    <col min="11266" max="11266" width="13.5703125" style="277" customWidth="1"/>
    <col min="11267" max="11267" width="24.5703125" style="277" customWidth="1"/>
    <col min="11268" max="11268" width="11.28515625" style="277" bestFit="1" customWidth="1"/>
    <col min="11269" max="11505" width="9.140625" style="277"/>
    <col min="11506" max="11506" width="64.5703125" style="277" customWidth="1"/>
    <col min="11507" max="11507" width="8.42578125" style="277" customWidth="1"/>
    <col min="11508" max="11508" width="9.7109375" style="277" bestFit="1" customWidth="1"/>
    <col min="11509" max="11509" width="3" style="277" customWidth="1"/>
    <col min="11510" max="11510" width="3.28515625" style="277" customWidth="1"/>
    <col min="11511" max="11512" width="2.85546875" style="277" customWidth="1"/>
    <col min="11513" max="11513" width="3" style="277" customWidth="1"/>
    <col min="11514" max="11514" width="2.5703125" style="277" customWidth="1"/>
    <col min="11515" max="11515" width="3" style="277" customWidth="1"/>
    <col min="11516" max="11516" width="2.7109375" style="277" customWidth="1"/>
    <col min="11517" max="11517" width="2.42578125" style="277" customWidth="1"/>
    <col min="11518" max="11518" width="13.85546875" style="277" bestFit="1" customWidth="1"/>
    <col min="11519" max="11519" width="9.140625" style="277"/>
    <col min="11520" max="11520" width="13.42578125" style="277" customWidth="1"/>
    <col min="11521" max="11521" width="19.42578125" style="277" customWidth="1"/>
    <col min="11522" max="11522" width="13.5703125" style="277" customWidth="1"/>
    <col min="11523" max="11523" width="24.5703125" style="277" customWidth="1"/>
    <col min="11524" max="11524" width="11.28515625" style="277" bestFit="1" customWidth="1"/>
    <col min="11525" max="11761" width="9.140625" style="277"/>
    <col min="11762" max="11762" width="64.5703125" style="277" customWidth="1"/>
    <col min="11763" max="11763" width="8.42578125" style="277" customWidth="1"/>
    <col min="11764" max="11764" width="9.7109375" style="277" bestFit="1" customWidth="1"/>
    <col min="11765" max="11765" width="3" style="277" customWidth="1"/>
    <col min="11766" max="11766" width="3.28515625" style="277" customWidth="1"/>
    <col min="11767" max="11768" width="2.85546875" style="277" customWidth="1"/>
    <col min="11769" max="11769" width="3" style="277" customWidth="1"/>
    <col min="11770" max="11770" width="2.5703125" style="277" customWidth="1"/>
    <col min="11771" max="11771" width="3" style="277" customWidth="1"/>
    <col min="11772" max="11772" width="2.7109375" style="277" customWidth="1"/>
    <col min="11773" max="11773" width="2.42578125" style="277" customWidth="1"/>
    <col min="11774" max="11774" width="13.85546875" style="277" bestFit="1" customWidth="1"/>
    <col min="11775" max="11775" width="9.140625" style="277"/>
    <col min="11776" max="11776" width="13.42578125" style="277" customWidth="1"/>
    <col min="11777" max="11777" width="19.42578125" style="277" customWidth="1"/>
    <col min="11778" max="11778" width="13.5703125" style="277" customWidth="1"/>
    <col min="11779" max="11779" width="24.5703125" style="277" customWidth="1"/>
    <col min="11780" max="11780" width="11.28515625" style="277" bestFit="1" customWidth="1"/>
    <col min="11781" max="12017" width="9.140625" style="277"/>
    <col min="12018" max="12018" width="64.5703125" style="277" customWidth="1"/>
    <col min="12019" max="12019" width="8.42578125" style="277" customWidth="1"/>
    <col min="12020" max="12020" width="9.7109375" style="277" bestFit="1" customWidth="1"/>
    <col min="12021" max="12021" width="3" style="277" customWidth="1"/>
    <col min="12022" max="12022" width="3.28515625" style="277" customWidth="1"/>
    <col min="12023" max="12024" width="2.85546875" style="277" customWidth="1"/>
    <col min="12025" max="12025" width="3" style="277" customWidth="1"/>
    <col min="12026" max="12026" width="2.5703125" style="277" customWidth="1"/>
    <col min="12027" max="12027" width="3" style="277" customWidth="1"/>
    <col min="12028" max="12028" width="2.7109375" style="277" customWidth="1"/>
    <col min="12029" max="12029" width="2.42578125" style="277" customWidth="1"/>
    <col min="12030" max="12030" width="13.85546875" style="277" bestFit="1" customWidth="1"/>
    <col min="12031" max="12031" width="9.140625" style="277"/>
    <col min="12032" max="12032" width="13.42578125" style="277" customWidth="1"/>
    <col min="12033" max="12033" width="19.42578125" style="277" customWidth="1"/>
    <col min="12034" max="12034" width="13.5703125" style="277" customWidth="1"/>
    <col min="12035" max="12035" width="24.5703125" style="277" customWidth="1"/>
    <col min="12036" max="12036" width="11.28515625" style="277" bestFit="1" customWidth="1"/>
    <col min="12037" max="12273" width="9.140625" style="277"/>
    <col min="12274" max="12274" width="64.5703125" style="277" customWidth="1"/>
    <col min="12275" max="12275" width="8.42578125" style="277" customWidth="1"/>
    <col min="12276" max="12276" width="9.7109375" style="277" bestFit="1" customWidth="1"/>
    <col min="12277" max="12277" width="3" style="277" customWidth="1"/>
    <col min="12278" max="12278" width="3.28515625" style="277" customWidth="1"/>
    <col min="12279" max="12280" width="2.85546875" style="277" customWidth="1"/>
    <col min="12281" max="12281" width="3" style="277" customWidth="1"/>
    <col min="12282" max="12282" width="2.5703125" style="277" customWidth="1"/>
    <col min="12283" max="12283" width="3" style="277" customWidth="1"/>
    <col min="12284" max="12284" width="2.7109375" style="277" customWidth="1"/>
    <col min="12285" max="12285" width="2.42578125" style="277" customWidth="1"/>
    <col min="12286" max="12286" width="13.85546875" style="277" bestFit="1" customWidth="1"/>
    <col min="12287" max="12287" width="9.140625" style="277"/>
    <col min="12288" max="12288" width="13.42578125" style="277" customWidth="1"/>
    <col min="12289" max="12289" width="19.42578125" style="277" customWidth="1"/>
    <col min="12290" max="12290" width="13.5703125" style="277" customWidth="1"/>
    <col min="12291" max="12291" width="24.5703125" style="277" customWidth="1"/>
    <col min="12292" max="12292" width="11.28515625" style="277" bestFit="1" customWidth="1"/>
    <col min="12293" max="12529" width="9.140625" style="277"/>
    <col min="12530" max="12530" width="64.5703125" style="277" customWidth="1"/>
    <col min="12531" max="12531" width="8.42578125" style="277" customWidth="1"/>
    <col min="12532" max="12532" width="9.7109375" style="277" bestFit="1" customWidth="1"/>
    <col min="12533" max="12533" width="3" style="277" customWidth="1"/>
    <col min="12534" max="12534" width="3.28515625" style="277" customWidth="1"/>
    <col min="12535" max="12536" width="2.85546875" style="277" customWidth="1"/>
    <col min="12537" max="12537" width="3" style="277" customWidth="1"/>
    <col min="12538" max="12538" width="2.5703125" style="277" customWidth="1"/>
    <col min="12539" max="12539" width="3" style="277" customWidth="1"/>
    <col min="12540" max="12540" width="2.7109375" style="277" customWidth="1"/>
    <col min="12541" max="12541" width="2.42578125" style="277" customWidth="1"/>
    <col min="12542" max="12542" width="13.85546875" style="277" bestFit="1" customWidth="1"/>
    <col min="12543" max="12543" width="9.140625" style="277"/>
    <col min="12544" max="12544" width="13.42578125" style="277" customWidth="1"/>
    <col min="12545" max="12545" width="19.42578125" style="277" customWidth="1"/>
    <col min="12546" max="12546" width="13.5703125" style="277" customWidth="1"/>
    <col min="12547" max="12547" width="24.5703125" style="277" customWidth="1"/>
    <col min="12548" max="12548" width="11.28515625" style="277" bestFit="1" customWidth="1"/>
    <col min="12549" max="12785" width="9.140625" style="277"/>
    <col min="12786" max="12786" width="64.5703125" style="277" customWidth="1"/>
    <col min="12787" max="12787" width="8.42578125" style="277" customWidth="1"/>
    <col min="12788" max="12788" width="9.7109375" style="277" bestFit="1" customWidth="1"/>
    <col min="12789" max="12789" width="3" style="277" customWidth="1"/>
    <col min="12790" max="12790" width="3.28515625" style="277" customWidth="1"/>
    <col min="12791" max="12792" width="2.85546875" style="277" customWidth="1"/>
    <col min="12793" max="12793" width="3" style="277" customWidth="1"/>
    <col min="12794" max="12794" width="2.5703125" style="277" customWidth="1"/>
    <col min="12795" max="12795" width="3" style="277" customWidth="1"/>
    <col min="12796" max="12796" width="2.7109375" style="277" customWidth="1"/>
    <col min="12797" max="12797" width="2.42578125" style="277" customWidth="1"/>
    <col min="12798" max="12798" width="13.85546875" style="277" bestFit="1" customWidth="1"/>
    <col min="12799" max="12799" width="9.140625" style="277"/>
    <col min="12800" max="12800" width="13.42578125" style="277" customWidth="1"/>
    <col min="12801" max="12801" width="19.42578125" style="277" customWidth="1"/>
    <col min="12802" max="12802" width="13.5703125" style="277" customWidth="1"/>
    <col min="12803" max="12803" width="24.5703125" style="277" customWidth="1"/>
    <col min="12804" max="12804" width="11.28515625" style="277" bestFit="1" customWidth="1"/>
    <col min="12805" max="13041" width="9.140625" style="277"/>
    <col min="13042" max="13042" width="64.5703125" style="277" customWidth="1"/>
    <col min="13043" max="13043" width="8.42578125" style="277" customWidth="1"/>
    <col min="13044" max="13044" width="9.7109375" style="277" bestFit="1" customWidth="1"/>
    <col min="13045" max="13045" width="3" style="277" customWidth="1"/>
    <col min="13046" max="13046" width="3.28515625" style="277" customWidth="1"/>
    <col min="13047" max="13048" width="2.85546875" style="277" customWidth="1"/>
    <col min="13049" max="13049" width="3" style="277" customWidth="1"/>
    <col min="13050" max="13050" width="2.5703125" style="277" customWidth="1"/>
    <col min="13051" max="13051" width="3" style="277" customWidth="1"/>
    <col min="13052" max="13052" width="2.7109375" style="277" customWidth="1"/>
    <col min="13053" max="13053" width="2.42578125" style="277" customWidth="1"/>
    <col min="13054" max="13054" width="13.85546875" style="277" bestFit="1" customWidth="1"/>
    <col min="13055" max="13055" width="9.140625" style="277"/>
    <col min="13056" max="13056" width="13.42578125" style="277" customWidth="1"/>
    <col min="13057" max="13057" width="19.42578125" style="277" customWidth="1"/>
    <col min="13058" max="13058" width="13.5703125" style="277" customWidth="1"/>
    <col min="13059" max="13059" width="24.5703125" style="277" customWidth="1"/>
    <col min="13060" max="13060" width="11.28515625" style="277" bestFit="1" customWidth="1"/>
    <col min="13061" max="13297" width="9.140625" style="277"/>
    <col min="13298" max="13298" width="64.5703125" style="277" customWidth="1"/>
    <col min="13299" max="13299" width="8.42578125" style="277" customWidth="1"/>
    <col min="13300" max="13300" width="9.7109375" style="277" bestFit="1" customWidth="1"/>
    <col min="13301" max="13301" width="3" style="277" customWidth="1"/>
    <col min="13302" max="13302" width="3.28515625" style="277" customWidth="1"/>
    <col min="13303" max="13304" width="2.85546875" style="277" customWidth="1"/>
    <col min="13305" max="13305" width="3" style="277" customWidth="1"/>
    <col min="13306" max="13306" width="2.5703125" style="277" customWidth="1"/>
    <col min="13307" max="13307" width="3" style="277" customWidth="1"/>
    <col min="13308" max="13308" width="2.7109375" style="277" customWidth="1"/>
    <col min="13309" max="13309" width="2.42578125" style="277" customWidth="1"/>
    <col min="13310" max="13310" width="13.85546875" style="277" bestFit="1" customWidth="1"/>
    <col min="13311" max="13311" width="9.140625" style="277"/>
    <col min="13312" max="13312" width="13.42578125" style="277" customWidth="1"/>
    <col min="13313" max="13313" width="19.42578125" style="277" customWidth="1"/>
    <col min="13314" max="13314" width="13.5703125" style="277" customWidth="1"/>
    <col min="13315" max="13315" width="24.5703125" style="277" customWidth="1"/>
    <col min="13316" max="13316" width="11.28515625" style="277" bestFit="1" customWidth="1"/>
    <col min="13317" max="13553" width="9.140625" style="277"/>
    <col min="13554" max="13554" width="64.5703125" style="277" customWidth="1"/>
    <col min="13555" max="13555" width="8.42578125" style="277" customWidth="1"/>
    <col min="13556" max="13556" width="9.7109375" style="277" bestFit="1" customWidth="1"/>
    <col min="13557" max="13557" width="3" style="277" customWidth="1"/>
    <col min="13558" max="13558" width="3.28515625" style="277" customWidth="1"/>
    <col min="13559" max="13560" width="2.85546875" style="277" customWidth="1"/>
    <col min="13561" max="13561" width="3" style="277" customWidth="1"/>
    <col min="13562" max="13562" width="2.5703125" style="277" customWidth="1"/>
    <col min="13563" max="13563" width="3" style="277" customWidth="1"/>
    <col min="13564" max="13564" width="2.7109375" style="277" customWidth="1"/>
    <col min="13565" max="13565" width="2.42578125" style="277" customWidth="1"/>
    <col min="13566" max="13566" width="13.85546875" style="277" bestFit="1" customWidth="1"/>
    <col min="13567" max="13567" width="9.140625" style="277"/>
    <col min="13568" max="13568" width="13.42578125" style="277" customWidth="1"/>
    <col min="13569" max="13569" width="19.42578125" style="277" customWidth="1"/>
    <col min="13570" max="13570" width="13.5703125" style="277" customWidth="1"/>
    <col min="13571" max="13571" width="24.5703125" style="277" customWidth="1"/>
    <col min="13572" max="13572" width="11.28515625" style="277" bestFit="1" customWidth="1"/>
    <col min="13573" max="13809" width="9.140625" style="277"/>
    <col min="13810" max="13810" width="64.5703125" style="277" customWidth="1"/>
    <col min="13811" max="13811" width="8.42578125" style="277" customWidth="1"/>
    <col min="13812" max="13812" width="9.7109375" style="277" bestFit="1" customWidth="1"/>
    <col min="13813" max="13813" width="3" style="277" customWidth="1"/>
    <col min="13814" max="13814" width="3.28515625" style="277" customWidth="1"/>
    <col min="13815" max="13816" width="2.85546875" style="277" customWidth="1"/>
    <col min="13817" max="13817" width="3" style="277" customWidth="1"/>
    <col min="13818" max="13818" width="2.5703125" style="277" customWidth="1"/>
    <col min="13819" max="13819" width="3" style="277" customWidth="1"/>
    <col min="13820" max="13820" width="2.7109375" style="277" customWidth="1"/>
    <col min="13821" max="13821" width="2.42578125" style="277" customWidth="1"/>
    <col min="13822" max="13822" width="13.85546875" style="277" bestFit="1" customWidth="1"/>
    <col min="13823" max="13823" width="9.140625" style="277"/>
    <col min="13824" max="13824" width="13.42578125" style="277" customWidth="1"/>
    <col min="13825" max="13825" width="19.42578125" style="277" customWidth="1"/>
    <col min="13826" max="13826" width="13.5703125" style="277" customWidth="1"/>
    <col min="13827" max="13827" width="24.5703125" style="277" customWidth="1"/>
    <col min="13828" max="13828" width="11.28515625" style="277" bestFit="1" customWidth="1"/>
    <col min="13829" max="14065" width="9.140625" style="277"/>
    <col min="14066" max="14066" width="64.5703125" style="277" customWidth="1"/>
    <col min="14067" max="14067" width="8.42578125" style="277" customWidth="1"/>
    <col min="14068" max="14068" width="9.7109375" style="277" bestFit="1" customWidth="1"/>
    <col min="14069" max="14069" width="3" style="277" customWidth="1"/>
    <col min="14070" max="14070" width="3.28515625" style="277" customWidth="1"/>
    <col min="14071" max="14072" width="2.85546875" style="277" customWidth="1"/>
    <col min="14073" max="14073" width="3" style="277" customWidth="1"/>
    <col min="14074" max="14074" width="2.5703125" style="277" customWidth="1"/>
    <col min="14075" max="14075" width="3" style="277" customWidth="1"/>
    <col min="14076" max="14076" width="2.7109375" style="277" customWidth="1"/>
    <col min="14077" max="14077" width="2.42578125" style="277" customWidth="1"/>
    <col min="14078" max="14078" width="13.85546875" style="277" bestFit="1" customWidth="1"/>
    <col min="14079" max="14079" width="9.140625" style="277"/>
    <col min="14080" max="14080" width="13.42578125" style="277" customWidth="1"/>
    <col min="14081" max="14081" width="19.42578125" style="277" customWidth="1"/>
    <col min="14082" max="14082" width="13.5703125" style="277" customWidth="1"/>
    <col min="14083" max="14083" width="24.5703125" style="277" customWidth="1"/>
    <col min="14084" max="14084" width="11.28515625" style="277" bestFit="1" customWidth="1"/>
    <col min="14085" max="14321" width="9.140625" style="277"/>
    <col min="14322" max="14322" width="64.5703125" style="277" customWidth="1"/>
    <col min="14323" max="14323" width="8.42578125" style="277" customWidth="1"/>
    <col min="14324" max="14324" width="9.7109375" style="277" bestFit="1" customWidth="1"/>
    <col min="14325" max="14325" width="3" style="277" customWidth="1"/>
    <col min="14326" max="14326" width="3.28515625" style="277" customWidth="1"/>
    <col min="14327" max="14328" width="2.85546875" style="277" customWidth="1"/>
    <col min="14329" max="14329" width="3" style="277" customWidth="1"/>
    <col min="14330" max="14330" width="2.5703125" style="277" customWidth="1"/>
    <col min="14331" max="14331" width="3" style="277" customWidth="1"/>
    <col min="14332" max="14332" width="2.7109375" style="277" customWidth="1"/>
    <col min="14333" max="14333" width="2.42578125" style="277" customWidth="1"/>
    <col min="14334" max="14334" width="13.85546875" style="277" bestFit="1" customWidth="1"/>
    <col min="14335" max="14335" width="9.140625" style="277"/>
    <col min="14336" max="14336" width="13.42578125" style="277" customWidth="1"/>
    <col min="14337" max="14337" width="19.42578125" style="277" customWidth="1"/>
    <col min="14338" max="14338" width="13.5703125" style="277" customWidth="1"/>
    <col min="14339" max="14339" width="24.5703125" style="277" customWidth="1"/>
    <col min="14340" max="14340" width="11.28515625" style="277" bestFit="1" customWidth="1"/>
    <col min="14341" max="14577" width="9.140625" style="277"/>
    <col min="14578" max="14578" width="64.5703125" style="277" customWidth="1"/>
    <col min="14579" max="14579" width="8.42578125" style="277" customWidth="1"/>
    <col min="14580" max="14580" width="9.7109375" style="277" bestFit="1" customWidth="1"/>
    <col min="14581" max="14581" width="3" style="277" customWidth="1"/>
    <col min="14582" max="14582" width="3.28515625" style="277" customWidth="1"/>
    <col min="14583" max="14584" width="2.85546875" style="277" customWidth="1"/>
    <col min="14585" max="14585" width="3" style="277" customWidth="1"/>
    <col min="14586" max="14586" width="2.5703125" style="277" customWidth="1"/>
    <col min="14587" max="14587" width="3" style="277" customWidth="1"/>
    <col min="14588" max="14588" width="2.7109375" style="277" customWidth="1"/>
    <col min="14589" max="14589" width="2.42578125" style="277" customWidth="1"/>
    <col min="14590" max="14590" width="13.85546875" style="277" bestFit="1" customWidth="1"/>
    <col min="14591" max="14591" width="9.140625" style="277"/>
    <col min="14592" max="14592" width="13.42578125" style="277" customWidth="1"/>
    <col min="14593" max="14593" width="19.42578125" style="277" customWidth="1"/>
    <col min="14594" max="14594" width="13.5703125" style="277" customWidth="1"/>
    <col min="14595" max="14595" width="24.5703125" style="277" customWidth="1"/>
    <col min="14596" max="14596" width="11.28515625" style="277" bestFit="1" customWidth="1"/>
    <col min="14597" max="14833" width="9.140625" style="277"/>
    <col min="14834" max="14834" width="64.5703125" style="277" customWidth="1"/>
    <col min="14835" max="14835" width="8.42578125" style="277" customWidth="1"/>
    <col min="14836" max="14836" width="9.7109375" style="277" bestFit="1" customWidth="1"/>
    <col min="14837" max="14837" width="3" style="277" customWidth="1"/>
    <col min="14838" max="14838" width="3.28515625" style="277" customWidth="1"/>
    <col min="14839" max="14840" width="2.85546875" style="277" customWidth="1"/>
    <col min="14841" max="14841" width="3" style="277" customWidth="1"/>
    <col min="14842" max="14842" width="2.5703125" style="277" customWidth="1"/>
    <col min="14843" max="14843" width="3" style="277" customWidth="1"/>
    <col min="14844" max="14844" width="2.7109375" style="277" customWidth="1"/>
    <col min="14845" max="14845" width="2.42578125" style="277" customWidth="1"/>
    <col min="14846" max="14846" width="13.85546875" style="277" bestFit="1" customWidth="1"/>
    <col min="14847" max="14847" width="9.140625" style="277"/>
    <col min="14848" max="14848" width="13.42578125" style="277" customWidth="1"/>
    <col min="14849" max="14849" width="19.42578125" style="277" customWidth="1"/>
    <col min="14850" max="14850" width="13.5703125" style="277" customWidth="1"/>
    <col min="14851" max="14851" width="24.5703125" style="277" customWidth="1"/>
    <col min="14852" max="14852" width="11.28515625" style="277" bestFit="1" customWidth="1"/>
    <col min="14853" max="15089" width="9.140625" style="277"/>
    <col min="15090" max="15090" width="64.5703125" style="277" customWidth="1"/>
    <col min="15091" max="15091" width="8.42578125" style="277" customWidth="1"/>
    <col min="15092" max="15092" width="9.7109375" style="277" bestFit="1" customWidth="1"/>
    <col min="15093" max="15093" width="3" style="277" customWidth="1"/>
    <col min="15094" max="15094" width="3.28515625" style="277" customWidth="1"/>
    <col min="15095" max="15096" width="2.85546875" style="277" customWidth="1"/>
    <col min="15097" max="15097" width="3" style="277" customWidth="1"/>
    <col min="15098" max="15098" width="2.5703125" style="277" customWidth="1"/>
    <col min="15099" max="15099" width="3" style="277" customWidth="1"/>
    <col min="15100" max="15100" width="2.7109375" style="277" customWidth="1"/>
    <col min="15101" max="15101" width="2.42578125" style="277" customWidth="1"/>
    <col min="15102" max="15102" width="13.85546875" style="277" bestFit="1" customWidth="1"/>
    <col min="15103" max="15103" width="9.140625" style="277"/>
    <col min="15104" max="15104" width="13.42578125" style="277" customWidth="1"/>
    <col min="15105" max="15105" width="19.42578125" style="277" customWidth="1"/>
    <col min="15106" max="15106" width="13.5703125" style="277" customWidth="1"/>
    <col min="15107" max="15107" width="24.5703125" style="277" customWidth="1"/>
    <col min="15108" max="15108" width="11.28515625" style="277" bestFit="1" customWidth="1"/>
    <col min="15109" max="15345" width="9.140625" style="277"/>
    <col min="15346" max="15346" width="64.5703125" style="277" customWidth="1"/>
    <col min="15347" max="15347" width="8.42578125" style="277" customWidth="1"/>
    <col min="15348" max="15348" width="9.7109375" style="277" bestFit="1" customWidth="1"/>
    <col min="15349" max="15349" width="3" style="277" customWidth="1"/>
    <col min="15350" max="15350" width="3.28515625" style="277" customWidth="1"/>
    <col min="15351" max="15352" width="2.85546875" style="277" customWidth="1"/>
    <col min="15353" max="15353" width="3" style="277" customWidth="1"/>
    <col min="15354" max="15354" width="2.5703125" style="277" customWidth="1"/>
    <col min="15355" max="15355" width="3" style="277" customWidth="1"/>
    <col min="15356" max="15356" width="2.7109375" style="277" customWidth="1"/>
    <col min="15357" max="15357" width="2.42578125" style="277" customWidth="1"/>
    <col min="15358" max="15358" width="13.85546875" style="277" bestFit="1" customWidth="1"/>
    <col min="15359" max="15359" width="9.140625" style="277"/>
    <col min="15360" max="15360" width="13.42578125" style="277" customWidth="1"/>
    <col min="15361" max="15361" width="19.42578125" style="277" customWidth="1"/>
    <col min="15362" max="15362" width="13.5703125" style="277" customWidth="1"/>
    <col min="15363" max="15363" width="24.5703125" style="277" customWidth="1"/>
    <col min="15364" max="15364" width="11.28515625" style="277" bestFit="1" customWidth="1"/>
    <col min="15365" max="15601" width="9.140625" style="277"/>
    <col min="15602" max="15602" width="64.5703125" style="277" customWidth="1"/>
    <col min="15603" max="15603" width="8.42578125" style="277" customWidth="1"/>
    <col min="15604" max="15604" width="9.7109375" style="277" bestFit="1" customWidth="1"/>
    <col min="15605" max="15605" width="3" style="277" customWidth="1"/>
    <col min="15606" max="15606" width="3.28515625" style="277" customWidth="1"/>
    <col min="15607" max="15608" width="2.85546875" style="277" customWidth="1"/>
    <col min="15609" max="15609" width="3" style="277" customWidth="1"/>
    <col min="15610" max="15610" width="2.5703125" style="277" customWidth="1"/>
    <col min="15611" max="15611" width="3" style="277" customWidth="1"/>
    <col min="15612" max="15612" width="2.7109375" style="277" customWidth="1"/>
    <col min="15613" max="15613" width="2.42578125" style="277" customWidth="1"/>
    <col min="15614" max="15614" width="13.85546875" style="277" bestFit="1" customWidth="1"/>
    <col min="15615" max="15615" width="9.140625" style="277"/>
    <col min="15616" max="15616" width="13.42578125" style="277" customWidth="1"/>
    <col min="15617" max="15617" width="19.42578125" style="277" customWidth="1"/>
    <col min="15618" max="15618" width="13.5703125" style="277" customWidth="1"/>
    <col min="15619" max="15619" width="24.5703125" style="277" customWidth="1"/>
    <col min="15620" max="15620" width="11.28515625" style="277" bestFit="1" customWidth="1"/>
    <col min="15621" max="15857" width="9.140625" style="277"/>
    <col min="15858" max="15858" width="64.5703125" style="277" customWidth="1"/>
    <col min="15859" max="15859" width="8.42578125" style="277" customWidth="1"/>
    <col min="15860" max="15860" width="9.7109375" style="277" bestFit="1" customWidth="1"/>
    <col min="15861" max="15861" width="3" style="277" customWidth="1"/>
    <col min="15862" max="15862" width="3.28515625" style="277" customWidth="1"/>
    <col min="15863" max="15864" width="2.85546875" style="277" customWidth="1"/>
    <col min="15865" max="15865" width="3" style="277" customWidth="1"/>
    <col min="15866" max="15866" width="2.5703125" style="277" customWidth="1"/>
    <col min="15867" max="15867" width="3" style="277" customWidth="1"/>
    <col min="15868" max="15868" width="2.7109375" style="277" customWidth="1"/>
    <col min="15869" max="15869" width="2.42578125" style="277" customWidth="1"/>
    <col min="15870" max="15870" width="13.85546875" style="277" bestFit="1" customWidth="1"/>
    <col min="15871" max="15871" width="9.140625" style="277"/>
    <col min="15872" max="15872" width="13.42578125" style="277" customWidth="1"/>
    <col min="15873" max="15873" width="19.42578125" style="277" customWidth="1"/>
    <col min="15874" max="15874" width="13.5703125" style="277" customWidth="1"/>
    <col min="15875" max="15875" width="24.5703125" style="277" customWidth="1"/>
    <col min="15876" max="15876" width="11.28515625" style="277" bestFit="1" customWidth="1"/>
    <col min="15877" max="16113" width="9.140625" style="277"/>
    <col min="16114" max="16114" width="64.5703125" style="277" customWidth="1"/>
    <col min="16115" max="16115" width="8.42578125" style="277" customWidth="1"/>
    <col min="16116" max="16116" width="9.7109375" style="277" bestFit="1" customWidth="1"/>
    <col min="16117" max="16117" width="3" style="277" customWidth="1"/>
    <col min="16118" max="16118" width="3.28515625" style="277" customWidth="1"/>
    <col min="16119" max="16120" width="2.85546875" style="277" customWidth="1"/>
    <col min="16121" max="16121" width="3" style="277" customWidth="1"/>
    <col min="16122" max="16122" width="2.5703125" style="277" customWidth="1"/>
    <col min="16123" max="16123" width="3" style="277" customWidth="1"/>
    <col min="16124" max="16124" width="2.7109375" style="277" customWidth="1"/>
    <col min="16125" max="16125" width="2.42578125" style="277" customWidth="1"/>
    <col min="16126" max="16126" width="13.85546875" style="277" bestFit="1" customWidth="1"/>
    <col min="16127" max="16127" width="9.140625" style="277"/>
    <col min="16128" max="16128" width="13.42578125" style="277" customWidth="1"/>
    <col min="16129" max="16129" width="19.42578125" style="277" customWidth="1"/>
    <col min="16130" max="16130" width="13.5703125" style="277" customWidth="1"/>
    <col min="16131" max="16131" width="24.5703125" style="277" customWidth="1"/>
    <col min="16132" max="16132" width="11.28515625" style="277" bestFit="1" customWidth="1"/>
    <col min="16133" max="16384" width="9.140625" style="277"/>
  </cols>
  <sheetData>
    <row r="1" spans="1:10" s="276" customFormat="1">
      <c r="A1" s="689" t="s">
        <v>937</v>
      </c>
      <c r="B1" s="689"/>
      <c r="C1" s="689"/>
    </row>
    <row r="2" spans="1:10" s="276" customFormat="1">
      <c r="A2" s="689" t="str">
        <f>'10-1'!A2:G2</f>
        <v>วิทยาลัยนวัตกรรมการจัดการ</v>
      </c>
      <c r="B2" s="689"/>
      <c r="C2" s="689"/>
      <c r="D2" s="434" t="str">
        <f>ปก!B9</f>
        <v>กลุ่มสาขาวิชามนุษยศาสตร์และสังคมศาสตร์</v>
      </c>
    </row>
    <row r="3" spans="1:10">
      <c r="A3" s="690" t="str">
        <f>'10-1'!A3:G3</f>
        <v>(ใส่ชื่อสาขาต้องพิมพ์ ถ้าจัดทำในระดับสาขา ถ้าในระดับคณะหน่วยงานว่างไว้)</v>
      </c>
      <c r="B3" s="690"/>
      <c r="C3" s="690"/>
    </row>
    <row r="4" spans="1:10" ht="27" customHeight="1">
      <c r="A4" s="691" t="s">
        <v>441</v>
      </c>
      <c r="B4" s="692" t="s">
        <v>8</v>
      </c>
      <c r="C4" s="693" t="s">
        <v>442</v>
      </c>
      <c r="D4" s="652"/>
      <c r="E4" s="694" t="s">
        <v>983</v>
      </c>
    </row>
    <row r="5" spans="1:10" ht="29.25" customHeight="1">
      <c r="A5" s="691"/>
      <c r="B5" s="693"/>
      <c r="C5" s="693"/>
      <c r="D5" s="652"/>
      <c r="E5" s="694"/>
    </row>
    <row r="6" spans="1:10">
      <c r="A6" s="696" t="s">
        <v>448</v>
      </c>
      <c r="B6" s="697"/>
      <c r="C6" s="697"/>
      <c r="D6" s="697"/>
      <c r="E6" s="698"/>
    </row>
    <row r="7" spans="1:10" ht="23.25" hidden="1" customHeight="1">
      <c r="A7" s="653" t="s">
        <v>575</v>
      </c>
      <c r="B7" s="654" t="s">
        <v>40</v>
      </c>
      <c r="C7" s="655"/>
      <c r="D7" s="652"/>
      <c r="E7" s="659" t="str">
        <f>IF('1.1'!G6="ประเมิน","ดำเนินการแล้ว","ยังไม่ได้ดำเนินการ")</f>
        <v>ดำเนินการแล้ว</v>
      </c>
      <c r="H7" s="276"/>
      <c r="I7" s="461" t="s">
        <v>576</v>
      </c>
      <c r="J7" s="462" t="e">
        <f>#REF!</f>
        <v>#REF!</v>
      </c>
    </row>
    <row r="8" spans="1:10" ht="23.25" hidden="1" customHeight="1">
      <c r="A8" s="653" t="s">
        <v>149</v>
      </c>
      <c r="B8" s="654" t="s">
        <v>40</v>
      </c>
      <c r="C8" s="655"/>
      <c r="D8" s="652"/>
      <c r="E8" s="659"/>
      <c r="H8" s="276"/>
      <c r="I8" s="602"/>
      <c r="J8" s="603"/>
    </row>
    <row r="9" spans="1:10">
      <c r="A9" s="656" t="s">
        <v>449</v>
      </c>
      <c r="B9" s="657" t="s">
        <v>39</v>
      </c>
      <c r="C9" s="658"/>
      <c r="D9" s="652"/>
      <c r="E9" s="659"/>
    </row>
    <row r="10" spans="1:10" ht="42" hidden="1">
      <c r="A10" s="656" t="s">
        <v>155</v>
      </c>
      <c r="B10" s="657" t="s">
        <v>40</v>
      </c>
      <c r="C10" s="658"/>
      <c r="D10" s="652"/>
      <c r="E10" s="676"/>
    </row>
    <row r="11" spans="1:10">
      <c r="A11" s="696" t="s">
        <v>450</v>
      </c>
      <c r="B11" s="697"/>
      <c r="C11" s="697"/>
      <c r="D11" s="697"/>
      <c r="E11" s="698"/>
    </row>
    <row r="12" spans="1:10">
      <c r="A12" s="659" t="s">
        <v>451</v>
      </c>
      <c r="B12" s="660" t="s">
        <v>40</v>
      </c>
      <c r="C12" s="655"/>
      <c r="D12" s="652"/>
      <c r="E12" s="659"/>
    </row>
    <row r="13" spans="1:10">
      <c r="A13" s="699" t="s">
        <v>452</v>
      </c>
      <c r="B13" s="660" t="s">
        <v>5</v>
      </c>
      <c r="C13" s="658"/>
      <c r="D13" s="661" t="e">
        <f>IF(#REF!&gt;=30,5,#REF!*5/30)</f>
        <v>#REF!</v>
      </c>
      <c r="E13" s="659"/>
    </row>
    <row r="14" spans="1:10">
      <c r="A14" s="699"/>
      <c r="B14" s="660" t="s">
        <v>453</v>
      </c>
      <c r="C14" s="662"/>
      <c r="D14" s="663" t="e">
        <f>IF(#REF!&gt;=6,5,IF(#REF!,(#REF!*5)/6,0))</f>
        <v>#REF!</v>
      </c>
      <c r="E14" s="659"/>
    </row>
    <row r="15" spans="1:10" ht="24" customHeight="1">
      <c r="A15" s="699" t="s">
        <v>454</v>
      </c>
      <c r="B15" s="660" t="s">
        <v>5</v>
      </c>
      <c r="C15" s="658"/>
      <c r="D15" s="663" t="e">
        <f>IF(#REF!&gt;=60,5,IF(#REF!,(#REF!*5)/60,0))</f>
        <v>#REF!</v>
      </c>
      <c r="E15" s="659"/>
    </row>
    <row r="16" spans="1:10">
      <c r="A16" s="699"/>
      <c r="B16" s="660" t="s">
        <v>453</v>
      </c>
      <c r="C16" s="658"/>
      <c r="D16" s="663" t="e">
        <f>IF(#REF!&gt;=12,5,(#REF!*5/12))</f>
        <v>#REF!</v>
      </c>
      <c r="E16" s="659"/>
    </row>
    <row r="17" spans="1:5" ht="30.75" hidden="1" customHeight="1">
      <c r="A17" s="653" t="s">
        <v>577</v>
      </c>
      <c r="B17" s="654" t="s">
        <v>40</v>
      </c>
      <c r="C17" s="655"/>
      <c r="D17" s="652"/>
      <c r="E17" s="659"/>
    </row>
    <row r="18" spans="1:5" ht="28.5" hidden="1" customHeight="1">
      <c r="A18" s="653" t="s">
        <v>578</v>
      </c>
      <c r="B18" s="654" t="s">
        <v>40</v>
      </c>
      <c r="C18" s="664"/>
      <c r="D18" s="652"/>
      <c r="E18" s="659"/>
    </row>
    <row r="19" spans="1:5" ht="30.75" customHeight="1">
      <c r="A19" s="653" t="s">
        <v>455</v>
      </c>
      <c r="B19" s="654" t="s">
        <v>40</v>
      </c>
      <c r="C19" s="664"/>
      <c r="D19" s="652"/>
      <c r="E19" s="659"/>
    </row>
    <row r="20" spans="1:5">
      <c r="A20" s="665" t="s">
        <v>456</v>
      </c>
      <c r="B20" s="666" t="s">
        <v>40</v>
      </c>
      <c r="C20" s="664"/>
      <c r="D20" s="652"/>
      <c r="E20" s="659"/>
    </row>
    <row r="21" spans="1:5" hidden="1">
      <c r="A21" s="665" t="s">
        <v>835</v>
      </c>
      <c r="B21" s="666" t="s">
        <v>40</v>
      </c>
      <c r="C21" s="664"/>
      <c r="D21" s="652"/>
      <c r="E21" s="659"/>
    </row>
    <row r="22" spans="1:5">
      <c r="A22" s="665" t="s">
        <v>579</v>
      </c>
      <c r="B22" s="666" t="s">
        <v>5</v>
      </c>
      <c r="C22" s="664"/>
      <c r="D22" s="652"/>
      <c r="E22" s="659"/>
    </row>
    <row r="23" spans="1:5" ht="42">
      <c r="A23" s="665" t="s">
        <v>457</v>
      </c>
      <c r="B23" s="666" t="s">
        <v>39</v>
      </c>
      <c r="C23" s="664"/>
      <c r="D23" s="652"/>
      <c r="E23" s="659"/>
    </row>
    <row r="24" spans="1:5" ht="42">
      <c r="A24" s="665" t="s">
        <v>580</v>
      </c>
      <c r="B24" s="666" t="s">
        <v>5</v>
      </c>
      <c r="C24" s="664"/>
      <c r="D24" s="652"/>
      <c r="E24" s="659"/>
    </row>
    <row r="25" spans="1:5" ht="42">
      <c r="A25" s="665" t="s">
        <v>458</v>
      </c>
      <c r="B25" s="666" t="s">
        <v>5</v>
      </c>
      <c r="C25" s="664"/>
      <c r="D25" s="652"/>
      <c r="E25" s="659"/>
    </row>
    <row r="26" spans="1:5">
      <c r="A26" s="653" t="s">
        <v>460</v>
      </c>
      <c r="B26" s="654" t="s">
        <v>461</v>
      </c>
      <c r="C26" s="667"/>
      <c r="D26" s="652"/>
      <c r="E26" s="659"/>
    </row>
    <row r="27" spans="1:5" hidden="1">
      <c r="A27" s="696" t="s">
        <v>581</v>
      </c>
      <c r="B27" s="697"/>
      <c r="C27" s="697"/>
      <c r="D27" s="697"/>
      <c r="E27" s="698"/>
    </row>
    <row r="28" spans="1:5" hidden="1">
      <c r="A28" s="659" t="s">
        <v>582</v>
      </c>
      <c r="B28" s="660" t="s">
        <v>40</v>
      </c>
      <c r="C28" s="667"/>
      <c r="D28" s="652"/>
      <c r="E28" s="659"/>
    </row>
    <row r="29" spans="1:5" ht="26.25" hidden="1" customHeight="1">
      <c r="A29" s="659" t="s">
        <v>583</v>
      </c>
      <c r="B29" s="660" t="s">
        <v>40</v>
      </c>
      <c r="C29" s="664"/>
      <c r="D29" s="652"/>
      <c r="E29" s="659"/>
    </row>
    <row r="30" spans="1:5">
      <c r="A30" s="696" t="s">
        <v>462</v>
      </c>
      <c r="B30" s="697"/>
      <c r="C30" s="697"/>
      <c r="D30" s="697"/>
      <c r="E30" s="698"/>
    </row>
    <row r="31" spans="1:5" ht="22.5" hidden="1" customHeight="1">
      <c r="A31" s="659" t="s">
        <v>584</v>
      </c>
      <c r="B31" s="660" t="s">
        <v>40</v>
      </c>
      <c r="C31" s="664"/>
      <c r="D31" s="652"/>
      <c r="E31" s="659"/>
    </row>
    <row r="32" spans="1:5" ht="21.75" hidden="1" customHeight="1">
      <c r="A32" s="659" t="s">
        <v>585</v>
      </c>
      <c r="B32" s="660" t="s">
        <v>40</v>
      </c>
      <c r="C32" s="667"/>
      <c r="D32" s="652"/>
      <c r="E32" s="659"/>
    </row>
    <row r="33" spans="1:5" ht="19.5" customHeight="1">
      <c r="A33" s="668" t="s">
        <v>463</v>
      </c>
      <c r="B33" s="666" t="s">
        <v>39</v>
      </c>
      <c r="C33" s="669"/>
      <c r="D33" s="670">
        <f>IF(D2="กลุ่มสาขาวิชาวิทยาศาสตร์และเทคโนโลยี",60000,25000)</f>
        <v>25000</v>
      </c>
      <c r="E33" s="659"/>
    </row>
    <row r="34" spans="1:5">
      <c r="A34" s="659" t="s">
        <v>464</v>
      </c>
      <c r="B34" s="660" t="s">
        <v>39</v>
      </c>
      <c r="C34" s="667"/>
      <c r="D34" s="670">
        <f>IF(D2="กลุ่มสาขาวิชาวิทยาศาสตร์และเทคโนโลยี",20,10)</f>
        <v>10</v>
      </c>
      <c r="E34" s="659"/>
    </row>
    <row r="35" spans="1:5">
      <c r="A35" s="659" t="s">
        <v>465</v>
      </c>
      <c r="B35" s="660" t="s">
        <v>5</v>
      </c>
      <c r="C35" s="667"/>
      <c r="D35" s="652"/>
      <c r="E35" s="659"/>
    </row>
    <row r="36" spans="1:5">
      <c r="A36" s="659" t="s">
        <v>466</v>
      </c>
      <c r="B36" s="660" t="s">
        <v>5</v>
      </c>
      <c r="C36" s="667"/>
      <c r="D36" s="652"/>
      <c r="E36" s="659"/>
    </row>
    <row r="37" spans="1:5">
      <c r="A37" s="695" t="s">
        <v>467</v>
      </c>
      <c r="B37" s="695"/>
      <c r="C37" s="695"/>
      <c r="D37" s="695"/>
      <c r="E37" s="695"/>
    </row>
    <row r="38" spans="1:5" hidden="1">
      <c r="A38" s="659" t="s">
        <v>586</v>
      </c>
      <c r="B38" s="660" t="s">
        <v>40</v>
      </c>
      <c r="C38" s="667"/>
      <c r="D38" s="652"/>
      <c r="E38" s="659"/>
    </row>
    <row r="39" spans="1:5" hidden="1">
      <c r="A39" s="659" t="s">
        <v>587</v>
      </c>
      <c r="B39" s="660" t="s">
        <v>40</v>
      </c>
      <c r="C39" s="667"/>
      <c r="D39" s="652"/>
      <c r="E39" s="659"/>
    </row>
    <row r="40" spans="1:5" ht="42">
      <c r="A40" s="656" t="s">
        <v>468</v>
      </c>
      <c r="B40" s="666" t="s">
        <v>5</v>
      </c>
      <c r="C40" s="664"/>
      <c r="D40" s="652"/>
      <c r="E40" s="659"/>
    </row>
    <row r="41" spans="1:5" ht="21" hidden="1" customHeight="1">
      <c r="A41" s="656" t="s">
        <v>588</v>
      </c>
      <c r="B41" s="671" t="s">
        <v>40</v>
      </c>
      <c r="C41" s="667"/>
      <c r="D41" s="652"/>
      <c r="E41" s="659"/>
    </row>
    <row r="42" spans="1:5" hidden="1">
      <c r="A42" s="656" t="s">
        <v>589</v>
      </c>
      <c r="B42" s="671" t="s">
        <v>40</v>
      </c>
      <c r="C42" s="667"/>
      <c r="D42" s="652"/>
      <c r="E42" s="659"/>
    </row>
    <row r="43" spans="1:5" hidden="1">
      <c r="A43" s="656" t="s">
        <v>590</v>
      </c>
      <c r="B43" s="671" t="s">
        <v>40</v>
      </c>
      <c r="C43" s="667"/>
      <c r="D43" s="652"/>
      <c r="E43" s="659"/>
    </row>
    <row r="44" spans="1:5" hidden="1">
      <c r="A44" s="696" t="s">
        <v>591</v>
      </c>
      <c r="B44" s="697"/>
      <c r="C44" s="697"/>
      <c r="D44" s="697"/>
      <c r="E44" s="698"/>
    </row>
    <row r="45" spans="1:5" hidden="1">
      <c r="A45" s="659" t="s">
        <v>592</v>
      </c>
      <c r="B45" s="660" t="s">
        <v>40</v>
      </c>
      <c r="C45" s="667"/>
      <c r="D45" s="652"/>
      <c r="E45" s="659"/>
    </row>
    <row r="46" spans="1:5" hidden="1">
      <c r="A46" s="659" t="s">
        <v>593</v>
      </c>
      <c r="B46" s="660" t="s">
        <v>40</v>
      </c>
      <c r="C46" s="667"/>
      <c r="D46" s="652"/>
      <c r="E46" s="659"/>
    </row>
    <row r="47" spans="1:5" hidden="1">
      <c r="A47" s="672" t="s">
        <v>594</v>
      </c>
      <c r="B47" s="660" t="s">
        <v>40</v>
      </c>
      <c r="C47" s="667"/>
      <c r="D47" s="652"/>
      <c r="E47" s="659"/>
    </row>
    <row r="48" spans="1:5" hidden="1">
      <c r="A48" s="696" t="s">
        <v>595</v>
      </c>
      <c r="B48" s="697"/>
      <c r="C48" s="697"/>
      <c r="D48" s="697"/>
      <c r="E48" s="698"/>
    </row>
    <row r="49" spans="1:5" hidden="1">
      <c r="A49" s="659" t="s">
        <v>596</v>
      </c>
      <c r="B49" s="660" t="s">
        <v>40</v>
      </c>
      <c r="C49" s="667"/>
      <c r="D49" s="652"/>
      <c r="E49" s="659"/>
    </row>
    <row r="50" spans="1:5" ht="21" hidden="1" customHeight="1">
      <c r="A50" s="659" t="s">
        <v>597</v>
      </c>
      <c r="B50" s="660" t="s">
        <v>40</v>
      </c>
      <c r="C50" s="667"/>
      <c r="D50" s="652"/>
      <c r="E50" s="659"/>
    </row>
    <row r="51" spans="1:5" hidden="1">
      <c r="A51" s="659" t="s">
        <v>598</v>
      </c>
      <c r="B51" s="660" t="s">
        <v>40</v>
      </c>
      <c r="C51" s="667"/>
      <c r="D51" s="652"/>
      <c r="E51" s="659"/>
    </row>
    <row r="52" spans="1:5" ht="24" hidden="1" customHeight="1">
      <c r="A52" s="659" t="s">
        <v>599</v>
      </c>
      <c r="B52" s="660" t="s">
        <v>40</v>
      </c>
      <c r="C52" s="667"/>
      <c r="D52" s="652"/>
      <c r="E52" s="659"/>
    </row>
    <row r="53" spans="1:5" ht="21.75" hidden="1" customHeight="1" thickBot="1">
      <c r="A53" s="659" t="s">
        <v>600</v>
      </c>
      <c r="B53" s="660" t="s">
        <v>39</v>
      </c>
      <c r="C53" s="667"/>
      <c r="D53" s="652"/>
      <c r="E53" s="659"/>
    </row>
    <row r="54" spans="1:5" ht="21.75" hidden="1" customHeight="1">
      <c r="A54" s="659" t="s">
        <v>967</v>
      </c>
      <c r="B54" s="660" t="s">
        <v>39</v>
      </c>
      <c r="C54" s="667"/>
      <c r="D54" s="652"/>
      <c r="E54" s="659"/>
    </row>
    <row r="55" spans="1:5" hidden="1">
      <c r="A55" s="659" t="s">
        <v>601</v>
      </c>
      <c r="B55" s="660" t="s">
        <v>39</v>
      </c>
      <c r="C55" s="667"/>
      <c r="D55" s="652"/>
      <c r="E55" s="659"/>
    </row>
    <row r="56" spans="1:5" hidden="1">
      <c r="A56" s="673" t="s">
        <v>469</v>
      </c>
      <c r="B56" s="674"/>
      <c r="C56" s="675"/>
      <c r="D56" s="652"/>
      <c r="E56" s="659"/>
    </row>
    <row r="57" spans="1:5" hidden="1">
      <c r="A57" s="673" t="s">
        <v>470</v>
      </c>
      <c r="B57" s="674"/>
      <c r="C57" s="675"/>
      <c r="D57" s="652"/>
      <c r="E57" s="659"/>
    </row>
    <row r="58" spans="1:5" hidden="1">
      <c r="A58" s="696" t="s">
        <v>602</v>
      </c>
      <c r="B58" s="697"/>
      <c r="C58" s="697"/>
      <c r="D58" s="697"/>
      <c r="E58" s="698"/>
    </row>
    <row r="59" spans="1:5" hidden="1">
      <c r="A59" s="659" t="s">
        <v>603</v>
      </c>
      <c r="B59" s="660" t="s">
        <v>40</v>
      </c>
      <c r="C59" s="667"/>
      <c r="D59" s="652"/>
      <c r="E59" s="659"/>
    </row>
    <row r="60" spans="1:5">
      <c r="A60" s="696" t="s">
        <v>471</v>
      </c>
      <c r="B60" s="697"/>
      <c r="C60" s="697"/>
      <c r="D60" s="697"/>
      <c r="E60" s="698"/>
    </row>
    <row r="61" spans="1:5" hidden="1">
      <c r="A61" s="659" t="s">
        <v>604</v>
      </c>
      <c r="B61" s="660" t="s">
        <v>40</v>
      </c>
      <c r="C61" s="667"/>
      <c r="D61" s="652"/>
      <c r="E61" s="659"/>
    </row>
    <row r="62" spans="1:5" ht="34.5" customHeight="1">
      <c r="A62" s="656" t="s">
        <v>472</v>
      </c>
      <c r="B62" s="666" t="s">
        <v>5</v>
      </c>
      <c r="C62" s="664"/>
      <c r="D62" s="652"/>
      <c r="E62" s="659"/>
    </row>
    <row r="63" spans="1:5" hidden="1">
      <c r="A63" s="673" t="s">
        <v>469</v>
      </c>
      <c r="B63" s="674"/>
      <c r="C63" s="675"/>
      <c r="D63" s="652"/>
      <c r="E63" s="659"/>
    </row>
    <row r="64" spans="1:5" hidden="1">
      <c r="A64" s="673" t="s">
        <v>470</v>
      </c>
      <c r="B64" s="674"/>
      <c r="C64" s="675"/>
      <c r="D64" s="652"/>
      <c r="E64" s="659"/>
    </row>
    <row r="65" spans="1:5">
      <c r="A65" s="696" t="s">
        <v>473</v>
      </c>
      <c r="B65" s="697"/>
      <c r="C65" s="697"/>
      <c r="D65" s="697"/>
      <c r="E65" s="698"/>
    </row>
    <row r="66" spans="1:5">
      <c r="A66" s="656" t="s">
        <v>474</v>
      </c>
      <c r="B66" s="654" t="s">
        <v>40</v>
      </c>
      <c r="C66" s="664"/>
      <c r="D66" s="652"/>
      <c r="E66" s="659"/>
    </row>
    <row r="67" spans="1:5" ht="42" hidden="1">
      <c r="A67" s="665" t="s">
        <v>475</v>
      </c>
      <c r="B67" s="660" t="s">
        <v>40</v>
      </c>
      <c r="C67" s="667"/>
      <c r="D67" s="652"/>
      <c r="E67" s="659"/>
    </row>
    <row r="68" spans="1:5" ht="21.75" hidden="1" customHeight="1" thickBot="1">
      <c r="A68" s="665" t="s">
        <v>476</v>
      </c>
      <c r="B68" s="660" t="s">
        <v>39</v>
      </c>
      <c r="C68" s="667">
        <v>3.51</v>
      </c>
      <c r="D68" s="652"/>
      <c r="E68" s="659"/>
    </row>
    <row r="69" spans="1:5" ht="27" hidden="1" customHeight="1">
      <c r="A69" s="696" t="s">
        <v>955</v>
      </c>
      <c r="B69" s="697"/>
      <c r="C69" s="697"/>
      <c r="D69" s="697"/>
      <c r="E69" s="698"/>
    </row>
    <row r="70" spans="1:5" ht="25.5" hidden="1" customHeight="1">
      <c r="A70" s="656" t="s">
        <v>953</v>
      </c>
      <c r="B70" s="654" t="s">
        <v>40</v>
      </c>
      <c r="C70" s="664"/>
      <c r="D70" s="652"/>
      <c r="E70" s="659"/>
    </row>
    <row r="71" spans="1:5" ht="42" hidden="1">
      <c r="A71" s="656" t="s">
        <v>952</v>
      </c>
      <c r="B71" s="654" t="s">
        <v>950</v>
      </c>
      <c r="C71" s="664"/>
      <c r="D71" s="652"/>
      <c r="E71" s="659"/>
    </row>
    <row r="73" spans="1:5">
      <c r="A73" s="366"/>
    </row>
  </sheetData>
  <mergeCells count="20">
    <mergeCell ref="A44:E44"/>
    <mergeCell ref="A48:E48"/>
    <mergeCell ref="A58:E58"/>
    <mergeCell ref="A69:E69"/>
    <mergeCell ref="A65:E65"/>
    <mergeCell ref="A60:E60"/>
    <mergeCell ref="E4:E5"/>
    <mergeCell ref="A37:E37"/>
    <mergeCell ref="A6:E6"/>
    <mergeCell ref="A11:E11"/>
    <mergeCell ref="A27:E27"/>
    <mergeCell ref="A30:E30"/>
    <mergeCell ref="A13:A14"/>
    <mergeCell ref="A15:A16"/>
    <mergeCell ref="A1:C1"/>
    <mergeCell ref="A2:C2"/>
    <mergeCell ref="A3:C3"/>
    <mergeCell ref="A4:A5"/>
    <mergeCell ref="B4:B5"/>
    <mergeCell ref="C4:C5"/>
  </mergeCells>
  <conditionalFormatting sqref="E7">
    <cfRule type="iconSet" priority="3">
      <iconSet iconSet="3Symbols">
        <cfvo type="percent" val="0"/>
        <cfvo type="percent" val="33"/>
        <cfvo type="percent" val="67"/>
      </iconSet>
    </cfRule>
  </conditionalFormatting>
  <pageMargins left="0.511811023622047" right="0.31496062992126" top="0.44488189" bottom="0.49803149600000002" header="0.31496062992126" footer="0.31496062992126"/>
  <pageSetup scale="64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0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315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316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295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317</v>
      </c>
      <c r="D22" s="733"/>
      <c r="E22" s="734"/>
      <c r="F22" s="397"/>
      <c r="G22" s="378" t="s">
        <v>32</v>
      </c>
    </row>
    <row r="23" spans="1:7" s="87" customFormat="1" ht="79.5" customHeight="1">
      <c r="A23" s="100"/>
      <c r="B23" s="31" t="str">
        <f t="shared" si="0"/>
        <v>¨</v>
      </c>
      <c r="C23" s="86" t="s">
        <v>318</v>
      </c>
      <c r="D23" s="733"/>
      <c r="E23" s="734"/>
      <c r="F23" s="397"/>
      <c r="G23" s="378" t="s">
        <v>32</v>
      </c>
    </row>
    <row r="24" spans="1:7" s="87" customFormat="1" ht="99.75" customHeight="1">
      <c r="A24" s="100"/>
      <c r="B24" s="31" t="str">
        <f t="shared" si="0"/>
        <v>¨</v>
      </c>
      <c r="C24" s="86" t="s">
        <v>304</v>
      </c>
      <c r="D24" s="733"/>
      <c r="E24" s="734"/>
      <c r="F24" s="397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allowBlank="1" showInputMessage="1" showErrorMessage="1" sqref="G16:G18 G22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2" max="6" man="1"/>
    <brk id="17" max="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6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319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320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321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322</v>
      </c>
      <c r="D22" s="733"/>
      <c r="E22" s="734"/>
      <c r="F22" s="397"/>
      <c r="G22" s="378" t="s">
        <v>32</v>
      </c>
    </row>
    <row r="23" spans="1:7" s="87" customFormat="1" ht="79.5" customHeight="1">
      <c r="A23" s="100"/>
      <c r="B23" s="31" t="str">
        <f t="shared" si="0"/>
        <v>¨</v>
      </c>
      <c r="C23" s="86" t="s">
        <v>323</v>
      </c>
      <c r="D23" s="733"/>
      <c r="E23" s="734"/>
      <c r="F23" s="397"/>
      <c r="G23" s="378" t="s">
        <v>32</v>
      </c>
    </row>
    <row r="24" spans="1:7" s="87" customFormat="1" ht="99.75" customHeight="1">
      <c r="A24" s="100"/>
      <c r="B24" s="31" t="str">
        <f t="shared" si="0"/>
        <v>¨</v>
      </c>
      <c r="C24" s="86" t="s">
        <v>324</v>
      </c>
      <c r="D24" s="733"/>
      <c r="E24" s="734"/>
      <c r="F24" s="397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2" max="6" man="1"/>
    <brk id="17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30"/>
  <sheetViews>
    <sheetView view="pageBreakPreview" topLeftCell="A2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5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325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1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+IF(G6&lt;&gt;"ประเมิน",G6,(COUNTIF(B16:B30,$J$1)))</f>
        <v>0</v>
      </c>
      <c r="D11" s="92">
        <f>IF(G6&lt;&gt;"ประเมิน",G6,IF(C11&gt;6,5,IF(C11&gt;5,4,IF(C11&gt;3,3,IF(C11&gt;1,2,IF(C11&gt;0,1,0))))))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30" si="0">IF(G16="มีการดำเนินการ",$J$1, IF(A16=0,$J$2,$A$5))</f>
        <v>¨</v>
      </c>
      <c r="C16" s="86" t="s">
        <v>326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327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328</v>
      </c>
      <c r="D22" s="733"/>
      <c r="E22" s="734"/>
      <c r="F22" s="397"/>
      <c r="G22" s="378" t="s">
        <v>32</v>
      </c>
    </row>
    <row r="23" spans="1:7" s="87" customFormat="1" ht="63">
      <c r="A23" s="100"/>
      <c r="B23" s="31" t="str">
        <f t="shared" si="0"/>
        <v>¨</v>
      </c>
      <c r="C23" s="86" t="s">
        <v>329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90" t="s">
        <v>60</v>
      </c>
    </row>
    <row r="28" spans="1:7" s="87" customFormat="1" ht="63">
      <c r="A28" s="100"/>
      <c r="B28" s="31" t="str">
        <f t="shared" si="0"/>
        <v>¨</v>
      </c>
      <c r="C28" s="86" t="s">
        <v>330</v>
      </c>
      <c r="D28" s="733"/>
      <c r="E28" s="734"/>
      <c r="F28" s="397"/>
      <c r="G28" s="378" t="s">
        <v>32</v>
      </c>
    </row>
    <row r="29" spans="1:7" s="87" customFormat="1" ht="63">
      <c r="A29" s="100"/>
      <c r="B29" s="31" t="str">
        <f t="shared" si="0"/>
        <v>¨</v>
      </c>
      <c r="C29" s="86" t="s">
        <v>331</v>
      </c>
      <c r="D29" s="733"/>
      <c r="E29" s="734"/>
      <c r="F29" s="397"/>
      <c r="G29" s="378" t="s">
        <v>32</v>
      </c>
    </row>
    <row r="30" spans="1:7" s="87" customFormat="1" ht="63">
      <c r="A30" s="100"/>
      <c r="B30" s="31" t="str">
        <f t="shared" si="0"/>
        <v>¨</v>
      </c>
      <c r="C30" s="86" t="s">
        <v>332</v>
      </c>
      <c r="D30" s="733"/>
      <c r="E30" s="734"/>
      <c r="F30" s="397"/>
      <c r="G30" s="378" t="s">
        <v>32</v>
      </c>
    </row>
  </sheetData>
  <mergeCells count="20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30:E30"/>
    <mergeCell ref="D21:E21"/>
    <mergeCell ref="D22:E22"/>
    <mergeCell ref="D23:E23"/>
    <mergeCell ref="A25:G25"/>
    <mergeCell ref="D27:E27"/>
    <mergeCell ref="D28:E2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 G28:G30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="85" zoomScaleNormal="120" zoomScaleSheetLayoutView="85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57031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333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374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334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335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336</v>
      </c>
      <c r="D22" s="733"/>
      <c r="E22" s="734"/>
      <c r="F22" s="397"/>
      <c r="G22" s="378" t="s">
        <v>32</v>
      </c>
    </row>
    <row r="23" spans="1:7" s="87" customFormat="1" ht="121.5" customHeight="1">
      <c r="A23" s="100"/>
      <c r="B23" s="31" t="str">
        <f t="shared" si="0"/>
        <v>¨</v>
      </c>
      <c r="C23" s="86" t="s">
        <v>337</v>
      </c>
      <c r="D23" s="733"/>
      <c r="E23" s="734"/>
      <c r="F23" s="397"/>
      <c r="G23" s="378" t="s">
        <v>32</v>
      </c>
    </row>
    <row r="24" spans="1:7" s="87" customFormat="1" ht="147.75" customHeight="1">
      <c r="A24" s="100"/>
      <c r="B24" s="31" t="str">
        <f t="shared" si="0"/>
        <v>¨</v>
      </c>
      <c r="C24" s="86" t="s">
        <v>338</v>
      </c>
      <c r="D24" s="733"/>
      <c r="E24" s="734"/>
      <c r="F24" s="397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allowBlank="1" showInputMessage="1" showErrorMessage="1" sqref="G16:G18 G22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2" max="6" man="1"/>
    <brk id="17" max="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0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339</v>
      </c>
      <c r="B6" s="79"/>
      <c r="C6" s="13"/>
      <c r="D6" s="141"/>
      <c r="E6" s="141"/>
      <c r="F6" s="13"/>
      <c r="G6" s="373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374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340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341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342</v>
      </c>
      <c r="D22" s="733"/>
      <c r="E22" s="734"/>
      <c r="F22" s="397"/>
      <c r="G22" s="378" t="s">
        <v>32</v>
      </c>
    </row>
    <row r="23" spans="1:7" s="87" customFormat="1" ht="121.5" customHeight="1">
      <c r="A23" s="100"/>
      <c r="B23" s="31" t="str">
        <f t="shared" si="0"/>
        <v>¨</v>
      </c>
      <c r="C23" s="86" t="s">
        <v>343</v>
      </c>
      <c r="D23" s="733"/>
      <c r="E23" s="734"/>
      <c r="F23" s="397"/>
      <c r="G23" s="378" t="s">
        <v>32</v>
      </c>
    </row>
    <row r="24" spans="1:7" s="87" customFormat="1" ht="147.75" customHeight="1">
      <c r="A24" s="100"/>
      <c r="B24" s="31" t="str">
        <f t="shared" si="0"/>
        <v>¨</v>
      </c>
      <c r="C24" s="86" t="s">
        <v>344</v>
      </c>
      <c r="D24" s="733"/>
      <c r="E24" s="734"/>
      <c r="F24" s="397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2" max="6" man="1"/>
    <brk id="17" max="6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9"/>
  <sheetViews>
    <sheetView view="pageBreakPreview" zoomScaleNormal="120" zoomScaleSheetLayoutView="10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3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345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1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+IF(G6&lt;&gt;"ประเมิน",G6,(COUNTIF(B16:B29,$J$1)))</f>
        <v>0</v>
      </c>
      <c r="D11" s="92">
        <f>IF(G6&lt;&gt;"ประเมิน",G6,IF(C11&gt;5,5,IF(C11&gt;4,4,IF(C11&gt;2,3,IF(C11&gt;1,2,IF(C11&gt;0,1,0))))))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374" t="s">
        <v>60</v>
      </c>
    </row>
    <row r="16" spans="1:29" s="87" customFormat="1" ht="105.75" customHeight="1">
      <c r="A16" s="100"/>
      <c r="B16" s="31" t="str">
        <f t="shared" ref="B16:B29" si="0">IF(G16="มีการดำเนินการ",$J$1, IF(A16=0,$J$2,$A$5))</f>
        <v>¨</v>
      </c>
      <c r="C16" s="86" t="s">
        <v>346</v>
      </c>
      <c r="D16" s="733"/>
      <c r="E16" s="734"/>
      <c r="F16" s="397"/>
      <c r="G16" s="378" t="s">
        <v>32</v>
      </c>
    </row>
    <row r="17" spans="1:7" s="87" customFormat="1" ht="374.25" customHeight="1">
      <c r="A17" s="100"/>
      <c r="B17" s="31" t="str">
        <f t="shared" si="0"/>
        <v>¨</v>
      </c>
      <c r="C17" s="86" t="s">
        <v>347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348</v>
      </c>
      <c r="D22" s="733"/>
      <c r="E22" s="734"/>
      <c r="F22" s="397"/>
      <c r="G22" s="378" t="s">
        <v>32</v>
      </c>
    </row>
    <row r="23" spans="1:7" s="87" customFormat="1" ht="42">
      <c r="A23" s="100"/>
      <c r="B23" s="31" t="str">
        <f t="shared" si="0"/>
        <v>¨</v>
      </c>
      <c r="C23" s="86" t="s">
        <v>349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39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374" t="s">
        <v>60</v>
      </c>
    </row>
    <row r="28" spans="1:7" s="87" customFormat="1" ht="63">
      <c r="A28" s="100"/>
      <c r="B28" s="31" t="str">
        <f t="shared" si="0"/>
        <v>¨</v>
      </c>
      <c r="C28" s="86" t="s">
        <v>350</v>
      </c>
      <c r="D28" s="733"/>
      <c r="E28" s="734"/>
      <c r="F28" s="397"/>
      <c r="G28" s="378" t="s">
        <v>32</v>
      </c>
    </row>
    <row r="29" spans="1:7" s="87" customFormat="1" ht="92.25" customHeight="1">
      <c r="A29" s="100"/>
      <c r="B29" s="31" t="str">
        <f t="shared" si="0"/>
        <v>¨</v>
      </c>
      <c r="C29" s="86" t="s">
        <v>351</v>
      </c>
      <c r="D29" s="733"/>
      <c r="E29" s="734"/>
      <c r="F29" s="397"/>
      <c r="G29" s="378" t="s">
        <v>32</v>
      </c>
    </row>
  </sheetData>
  <mergeCells count="19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21:E21"/>
    <mergeCell ref="D22:E22"/>
    <mergeCell ref="D23:E23"/>
    <mergeCell ref="A25:G25"/>
    <mergeCell ref="D27:E27"/>
    <mergeCell ref="D28:E28"/>
  </mergeCells>
  <dataValidations count="2">
    <dataValidation type="list" allowBlank="1" showInputMessage="1" showErrorMessage="1" sqref="G16:G18 G22:G24 G28:G29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2" manualBreakCount="2">
    <brk id="17" max="6" man="1"/>
    <brk id="2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27"/>
  <sheetViews>
    <sheetView view="pageBreakPreview" zoomScaleNormal="80" zoomScaleSheetLayoutView="100" workbookViewId="0">
      <selection activeCell="A2" sqref="A2:G3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17.28515625" customWidth="1"/>
    <col min="7" max="7" width="8.28515625" customWidth="1"/>
    <col min="8" max="8" width="9.7109375" bestFit="1" customWidth="1"/>
    <col min="9" max="9" width="14.7109375" customWidth="1"/>
    <col min="10" max="15" width="9.140625" hidden="1" customWidth="1"/>
    <col min="16" max="16" width="23.5703125" hidden="1" customWidth="1"/>
    <col min="17" max="18" width="9.140625" customWidth="1"/>
    <col min="19" max="19" width="9.140625" hidden="1" customWidth="1"/>
    <col min="20" max="26" width="9.140625" customWidth="1"/>
  </cols>
  <sheetData>
    <row r="1" spans="1:16" s="78" customFormat="1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16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16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16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16" ht="10.5" customHeight="1">
      <c r="A5" s="13"/>
      <c r="B5" s="14"/>
      <c r="C5" s="14"/>
      <c r="D5" s="13"/>
      <c r="E5" s="13"/>
      <c r="F5" s="13"/>
      <c r="G5" s="13"/>
      <c r="H5" s="13"/>
    </row>
    <row r="6" spans="1:16" ht="21">
      <c r="A6" s="787" t="s">
        <v>353</v>
      </c>
      <c r="B6" s="787"/>
      <c r="C6" s="787"/>
      <c r="D6" s="787"/>
      <c r="E6" s="787"/>
      <c r="F6" s="787"/>
      <c r="G6" s="741" t="s">
        <v>61</v>
      </c>
      <c r="H6" s="741"/>
    </row>
    <row r="7" spans="1:16" ht="21" customHeight="1">
      <c r="A7" s="787"/>
      <c r="B7" s="787"/>
      <c r="C7" s="787"/>
      <c r="D7" s="787"/>
      <c r="E7" s="787"/>
      <c r="F7" s="787"/>
      <c r="G7" s="16"/>
      <c r="H7" s="16"/>
    </row>
    <row r="8" spans="1:16" ht="10.5" customHeight="1">
      <c r="A8" s="156"/>
      <c r="B8" s="156"/>
      <c r="C8" s="156"/>
      <c r="D8" s="156"/>
      <c r="E8" s="156"/>
      <c r="F8" s="156"/>
      <c r="G8" s="16"/>
      <c r="H8" s="16"/>
    </row>
    <row r="9" spans="1:16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16" ht="13.5" customHeight="1">
      <c r="A10" s="15"/>
      <c r="B10" s="14"/>
      <c r="C10" s="14"/>
      <c r="D10" s="13"/>
      <c r="E10" s="13"/>
      <c r="F10" s="13"/>
      <c r="G10" s="13"/>
      <c r="H10" s="13"/>
    </row>
    <row r="11" spans="1:16" ht="43.5" customHeight="1">
      <c r="A11" s="747" t="s">
        <v>931</v>
      </c>
      <c r="B11" s="748"/>
      <c r="C11" s="748"/>
      <c r="D11" s="749"/>
      <c r="E11" s="155" t="s">
        <v>8</v>
      </c>
      <c r="F11" s="745" t="s">
        <v>0</v>
      </c>
      <c r="G11" s="745"/>
      <c r="H11" s="831" t="s">
        <v>7</v>
      </c>
      <c r="I11" s="831"/>
      <c r="J11" s="48"/>
      <c r="N11" s="78"/>
    </row>
    <row r="12" spans="1:16" ht="23.25">
      <c r="A12" s="20">
        <v>1</v>
      </c>
      <c r="B12" s="743" t="s">
        <v>354</v>
      </c>
      <c r="C12" s="743"/>
      <c r="D12" s="743"/>
      <c r="E12" s="241" t="s">
        <v>39</v>
      </c>
      <c r="F12" s="882">
        <f>G19</f>
        <v>0</v>
      </c>
      <c r="G12" s="882"/>
      <c r="H12" s="853">
        <f>IF(G6&lt;&gt;"ประเมิน",G6,F12)</f>
        <v>0</v>
      </c>
      <c r="I12" s="853"/>
      <c r="N12" s="82" t="s">
        <v>61</v>
      </c>
    </row>
    <row r="13" spans="1:16" ht="42.75" customHeight="1">
      <c r="A13" s="23"/>
      <c r="B13" s="755"/>
      <c r="C13" s="755"/>
      <c r="D13" s="755"/>
      <c r="E13" s="263"/>
      <c r="F13" s="889"/>
      <c r="G13" s="889"/>
      <c r="H13" s="264"/>
      <c r="I13" s="264"/>
      <c r="N13" t="s">
        <v>62</v>
      </c>
    </row>
    <row r="14" spans="1:16" ht="44.25" hidden="1" customHeight="1">
      <c r="A14" s="40"/>
      <c r="B14" s="755"/>
      <c r="C14" s="755"/>
      <c r="D14" s="755"/>
      <c r="E14" s="263"/>
      <c r="F14" s="888"/>
      <c r="G14" s="888"/>
      <c r="H14" s="264"/>
      <c r="I14" s="264"/>
      <c r="L14" t="s">
        <v>38</v>
      </c>
      <c r="M14">
        <v>20</v>
      </c>
    </row>
    <row r="15" spans="1:16" ht="44.25" hidden="1" customHeight="1">
      <c r="A15" s="40"/>
      <c r="B15" s="154"/>
      <c r="C15" s="154"/>
      <c r="D15" s="154"/>
      <c r="E15" s="226"/>
      <c r="F15" s="227"/>
      <c r="G15" s="227"/>
      <c r="H15" s="228"/>
      <c r="I15" s="228"/>
    </row>
    <row r="16" spans="1:16" ht="21.75">
      <c r="A16" s="874" t="s">
        <v>77</v>
      </c>
      <c r="B16" s="874"/>
      <c r="C16" s="874"/>
      <c r="D16" s="130"/>
      <c r="E16" s="108"/>
      <c r="F16" s="797"/>
      <c r="G16" s="797"/>
      <c r="H16" s="797"/>
      <c r="I16" s="797"/>
    </row>
    <row r="17" spans="1:9" ht="39.75" customHeight="1">
      <c r="A17" s="745" t="s">
        <v>4</v>
      </c>
      <c r="B17" s="745"/>
      <c r="C17" s="745"/>
      <c r="D17" s="890" t="s">
        <v>2</v>
      </c>
      <c r="E17" s="887" t="s">
        <v>0</v>
      </c>
      <c r="F17" s="887"/>
      <c r="G17" s="887"/>
      <c r="H17" s="887"/>
    </row>
    <row r="18" spans="1:9" ht="21">
      <c r="A18" s="745"/>
      <c r="B18" s="745"/>
      <c r="C18" s="745"/>
      <c r="D18" s="890"/>
      <c r="E18" s="262">
        <v>2554</v>
      </c>
      <c r="F18" s="262">
        <v>2555</v>
      </c>
      <c r="G18" s="262">
        <v>2556</v>
      </c>
      <c r="H18" s="262" t="s">
        <v>1</v>
      </c>
    </row>
    <row r="19" spans="1:9" ht="21.75">
      <c r="A19" s="20">
        <v>1</v>
      </c>
      <c r="B19" s="736" t="s">
        <v>352</v>
      </c>
      <c r="C19" s="737"/>
      <c r="D19" s="188" t="s">
        <v>41</v>
      </c>
      <c r="E19" s="195"/>
      <c r="F19" s="195"/>
      <c r="G19" s="195"/>
      <c r="H19" s="194" t="e">
        <f>AVERAGE(E19:G19)</f>
        <v>#DIV/0!</v>
      </c>
    </row>
    <row r="20" spans="1:9" ht="21">
      <c r="A20" s="259"/>
      <c r="B20" s="260"/>
      <c r="C20" s="260"/>
      <c r="D20" s="261"/>
      <c r="E20" s="252"/>
      <c r="F20" s="252"/>
      <c r="G20" s="252"/>
      <c r="H20" s="252"/>
    </row>
    <row r="21" spans="1:9" ht="21">
      <c r="A21" s="894" t="s">
        <v>975</v>
      </c>
      <c r="B21" s="894"/>
      <c r="C21" s="894"/>
      <c r="D21" s="261"/>
      <c r="E21" s="252"/>
      <c r="F21" s="252"/>
      <c r="G21" s="252"/>
      <c r="H21" s="252"/>
    </row>
    <row r="22" spans="1:9" ht="21">
      <c r="A22" s="892" t="s">
        <v>497</v>
      </c>
      <c r="B22" s="892"/>
      <c r="C22" s="649" t="s">
        <v>976</v>
      </c>
      <c r="D22" s="895" t="s">
        <v>0</v>
      </c>
      <c r="E22" s="896"/>
      <c r="F22" s="897"/>
      <c r="G22" s="898" t="s">
        <v>495</v>
      </c>
      <c r="H22" s="899"/>
      <c r="I22" s="900"/>
    </row>
    <row r="23" spans="1:9" ht="42">
      <c r="A23" s="893">
        <v>1</v>
      </c>
      <c r="B23" s="893"/>
      <c r="C23" s="648" t="s">
        <v>977</v>
      </c>
      <c r="D23" s="901"/>
      <c r="E23" s="902"/>
      <c r="F23" s="903"/>
      <c r="G23" s="898"/>
      <c r="H23" s="899"/>
      <c r="I23" s="900"/>
    </row>
    <row r="24" spans="1:9" ht="45" customHeight="1">
      <c r="A24" s="891">
        <v>2</v>
      </c>
      <c r="B24" s="891"/>
      <c r="C24" s="650" t="s">
        <v>978</v>
      </c>
      <c r="D24" s="891"/>
      <c r="E24" s="891"/>
      <c r="F24" s="891"/>
      <c r="G24" s="891"/>
      <c r="H24" s="891"/>
      <c r="I24" s="891"/>
    </row>
    <row r="25" spans="1:9" ht="42.75" customHeight="1">
      <c r="A25" s="891">
        <v>3</v>
      </c>
      <c r="B25" s="891"/>
      <c r="C25" s="651" t="s">
        <v>979</v>
      </c>
      <c r="D25" s="891"/>
      <c r="E25" s="891"/>
      <c r="F25" s="891"/>
      <c r="G25" s="891"/>
      <c r="H25" s="891"/>
      <c r="I25" s="891"/>
    </row>
    <row r="26" spans="1:9" ht="42" customHeight="1">
      <c r="A26" s="891">
        <v>4</v>
      </c>
      <c r="B26" s="891"/>
      <c r="C26" s="651" t="s">
        <v>980</v>
      </c>
      <c r="D26" s="891"/>
      <c r="E26" s="891"/>
      <c r="F26" s="891"/>
      <c r="G26" s="891"/>
      <c r="H26" s="891"/>
      <c r="I26" s="891"/>
    </row>
    <row r="27" spans="1:9" ht="42" customHeight="1">
      <c r="A27" s="891">
        <v>5</v>
      </c>
      <c r="B27" s="891"/>
      <c r="C27" s="651" t="s">
        <v>981</v>
      </c>
      <c r="D27" s="891"/>
      <c r="E27" s="891"/>
      <c r="F27" s="891"/>
      <c r="G27" s="891"/>
      <c r="H27" s="891"/>
      <c r="I27" s="891"/>
    </row>
  </sheetData>
  <mergeCells count="42">
    <mergeCell ref="A22:B22"/>
    <mergeCell ref="A23:B23"/>
    <mergeCell ref="A21:C21"/>
    <mergeCell ref="D22:F22"/>
    <mergeCell ref="G22:I22"/>
    <mergeCell ref="D23:F23"/>
    <mergeCell ref="G23:I23"/>
    <mergeCell ref="A24:B24"/>
    <mergeCell ref="A25:B25"/>
    <mergeCell ref="A26:B26"/>
    <mergeCell ref="A27:B27"/>
    <mergeCell ref="G24:I24"/>
    <mergeCell ref="G25:I25"/>
    <mergeCell ref="G26:I26"/>
    <mergeCell ref="G27:I27"/>
    <mergeCell ref="D24:F24"/>
    <mergeCell ref="D25:F25"/>
    <mergeCell ref="D26:F26"/>
    <mergeCell ref="D27:F27"/>
    <mergeCell ref="A1:I1"/>
    <mergeCell ref="A2:I2"/>
    <mergeCell ref="A3:I3"/>
    <mergeCell ref="A4:I4"/>
    <mergeCell ref="A6:F7"/>
    <mergeCell ref="G6:H6"/>
    <mergeCell ref="B13:D13"/>
    <mergeCell ref="F13:G13"/>
    <mergeCell ref="B14:D14"/>
    <mergeCell ref="A17:C18"/>
    <mergeCell ref="D17:D18"/>
    <mergeCell ref="A9:G9"/>
    <mergeCell ref="A11:D11"/>
    <mergeCell ref="F11:G11"/>
    <mergeCell ref="H11:I11"/>
    <mergeCell ref="B12:D12"/>
    <mergeCell ref="F12:G12"/>
    <mergeCell ref="H12:I12"/>
    <mergeCell ref="E17:H17"/>
    <mergeCell ref="B19:C19"/>
    <mergeCell ref="F14:G14"/>
    <mergeCell ref="A16:C16"/>
    <mergeCell ref="F16:I16"/>
  </mergeCells>
  <dataValidations count="1">
    <dataValidation type="list" errorStyle="information" allowBlank="1" showInputMessage="1" showErrorMessage="1" prompt="กรุณาเลือก" sqref="G6:H6">
      <formula1>$N$11:$N$13</formula1>
    </dataValidation>
  </dataValidations>
  <pageMargins left="0.34" right="0.28999999999999998" top="0.59055118110236227" bottom="0.19685039370078741" header="0.19685039370078741" footer="0.19685039370078741"/>
  <pageSetup paperSize="9" scale="88" orientation="portrait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T28"/>
  <sheetViews>
    <sheetView view="pageBreakPreview" zoomScaleNormal="100" zoomScaleSheetLayoutView="100" workbookViewId="0">
      <selection activeCell="Y1" sqref="Y1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8.7109375" customWidth="1"/>
    <col min="10" max="15" width="9.140625" hidden="1" customWidth="1"/>
    <col min="16" max="16" width="23.5703125" hidden="1" customWidth="1"/>
    <col min="17" max="26" width="9.140625" customWidth="1"/>
  </cols>
  <sheetData>
    <row r="1" spans="1:20" s="78" customFormat="1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</row>
    <row r="6" spans="1:20" ht="21">
      <c r="A6" s="787" t="s">
        <v>355</v>
      </c>
      <c r="B6" s="787"/>
      <c r="C6" s="787"/>
      <c r="D6" s="787"/>
      <c r="E6" s="787"/>
      <c r="F6" s="787"/>
      <c r="G6" s="741" t="s">
        <v>61</v>
      </c>
      <c r="H6" s="741"/>
    </row>
    <row r="7" spans="1:20" ht="21" customHeight="1">
      <c r="A7" s="787"/>
      <c r="B7" s="787"/>
      <c r="C7" s="787"/>
      <c r="D7" s="787"/>
      <c r="E7" s="787"/>
      <c r="F7" s="787"/>
      <c r="G7" s="16"/>
      <c r="H7" s="16"/>
    </row>
    <row r="8" spans="1:20" ht="10.5" customHeight="1">
      <c r="A8" s="156"/>
      <c r="B8" s="156"/>
      <c r="C8" s="156"/>
      <c r="D8" s="156"/>
      <c r="E8" s="156"/>
      <c r="F8" s="156"/>
      <c r="G8" s="16"/>
      <c r="H8" s="16"/>
    </row>
    <row r="9" spans="1:20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0" ht="13.5" customHeight="1">
      <c r="A10" s="15"/>
      <c r="B10" s="14"/>
      <c r="C10" s="14"/>
      <c r="D10" s="13"/>
      <c r="E10" s="13"/>
      <c r="F10" s="13"/>
      <c r="G10" s="13"/>
      <c r="H10" s="13"/>
    </row>
    <row r="11" spans="1:20" ht="43.5" customHeight="1">
      <c r="A11" s="747" t="s">
        <v>931</v>
      </c>
      <c r="B11" s="748"/>
      <c r="C11" s="748"/>
      <c r="D11" s="749"/>
      <c r="E11" s="155" t="s">
        <v>8</v>
      </c>
      <c r="F11" s="750" t="s">
        <v>929</v>
      </c>
      <c r="G11" s="751"/>
      <c r="H11" s="831" t="s">
        <v>7</v>
      </c>
      <c r="I11" s="831"/>
      <c r="J11" s="48"/>
      <c r="N11" s="78"/>
      <c r="Q11" s="750" t="s">
        <v>605</v>
      </c>
      <c r="R11" s="751"/>
      <c r="S11" s="831" t="s">
        <v>7</v>
      </c>
      <c r="T11" s="831"/>
    </row>
    <row r="12" spans="1:20" ht="23.25">
      <c r="A12" s="20">
        <v>1</v>
      </c>
      <c r="B12" s="743" t="s">
        <v>356</v>
      </c>
      <c r="C12" s="743"/>
      <c r="D12" s="743"/>
      <c r="E12" s="241" t="s">
        <v>39</v>
      </c>
      <c r="F12" s="882">
        <f>G19</f>
        <v>0</v>
      </c>
      <c r="G12" s="882"/>
      <c r="H12" s="853">
        <f>IF(G6&lt;&gt;"ประเมิน",G6,F12)</f>
        <v>0</v>
      </c>
      <c r="I12" s="853"/>
      <c r="N12" s="82" t="s">
        <v>61</v>
      </c>
      <c r="Q12" s="882">
        <f>H19</f>
        <v>0</v>
      </c>
      <c r="R12" s="882"/>
      <c r="S12" s="853">
        <f>IF(G6&lt;&gt;"ประเมิน",G6,Q12)</f>
        <v>0</v>
      </c>
      <c r="T12" s="853"/>
    </row>
    <row r="13" spans="1:20" ht="42.75" customHeight="1">
      <c r="A13" s="23"/>
      <c r="B13" s="755"/>
      <c r="C13" s="755"/>
      <c r="D13" s="755"/>
      <c r="E13" s="263"/>
      <c r="F13" s="889"/>
      <c r="G13" s="889"/>
      <c r="H13" s="264"/>
      <c r="I13" s="264"/>
      <c r="N13" t="s">
        <v>62</v>
      </c>
    </row>
    <row r="14" spans="1:20" ht="44.25" customHeight="1">
      <c r="A14" s="40"/>
      <c r="B14" s="755"/>
      <c r="C14" s="755"/>
      <c r="D14" s="755"/>
      <c r="E14" s="263"/>
      <c r="F14" s="888"/>
      <c r="G14" s="888"/>
      <c r="H14" s="264"/>
      <c r="I14" s="264"/>
      <c r="L14" t="s">
        <v>38</v>
      </c>
      <c r="M14">
        <v>20</v>
      </c>
    </row>
    <row r="15" spans="1:20" ht="44.25" customHeight="1">
      <c r="A15" s="40"/>
      <c r="B15" s="154"/>
      <c r="C15" s="154"/>
      <c r="D15" s="154"/>
      <c r="E15" s="226"/>
      <c r="F15" s="227"/>
      <c r="G15" s="227"/>
      <c r="H15" s="228"/>
      <c r="I15" s="228"/>
    </row>
    <row r="16" spans="1:20" ht="21.75">
      <c r="A16" s="874" t="s">
        <v>77</v>
      </c>
      <c r="B16" s="874"/>
      <c r="C16" s="874"/>
      <c r="D16" s="130"/>
      <c r="E16" s="108"/>
      <c r="F16" s="797"/>
      <c r="G16" s="797"/>
      <c r="H16" s="797"/>
      <c r="I16" s="797"/>
    </row>
    <row r="17" spans="1:9" ht="39.75" customHeight="1">
      <c r="A17" s="745" t="s">
        <v>4</v>
      </c>
      <c r="B17" s="745"/>
      <c r="C17" s="745"/>
      <c r="D17" s="890" t="s">
        <v>2</v>
      </c>
      <c r="E17" s="887" t="s">
        <v>0</v>
      </c>
      <c r="F17" s="887"/>
      <c r="G17" s="887"/>
      <c r="H17" s="887"/>
    </row>
    <row r="18" spans="1:9" ht="21">
      <c r="A18" s="745"/>
      <c r="B18" s="745"/>
      <c r="C18" s="745"/>
      <c r="D18" s="890"/>
      <c r="E18" s="262">
        <v>2554</v>
      </c>
      <c r="F18" s="262">
        <v>2555</v>
      </c>
      <c r="G18" s="262">
        <v>2556</v>
      </c>
      <c r="H18" s="262" t="s">
        <v>1</v>
      </c>
    </row>
    <row r="19" spans="1:9" ht="21.75">
      <c r="A19" s="20">
        <v>1</v>
      </c>
      <c r="B19" s="736" t="s">
        <v>356</v>
      </c>
      <c r="C19" s="737"/>
      <c r="D19" s="188" t="s">
        <v>41</v>
      </c>
      <c r="E19" s="195">
        <v>0</v>
      </c>
      <c r="F19" s="195">
        <v>0</v>
      </c>
      <c r="G19" s="195">
        <v>0</v>
      </c>
      <c r="H19" s="194">
        <f>AVERAGE(E19:G19)</f>
        <v>0</v>
      </c>
    </row>
    <row r="20" spans="1:9" ht="21">
      <c r="A20" s="259"/>
      <c r="B20" s="260"/>
      <c r="C20" s="260"/>
      <c r="D20" s="261"/>
      <c r="E20" s="252"/>
      <c r="F20" s="252"/>
      <c r="G20" s="252"/>
      <c r="H20" s="252"/>
    </row>
    <row r="21" spans="1:9" ht="21.75">
      <c r="B21" s="258"/>
      <c r="C21" s="40"/>
      <c r="D21" s="40"/>
      <c r="E21" s="40"/>
      <c r="F21" s="163"/>
      <c r="G21" s="163"/>
      <c r="H21" s="163"/>
    </row>
    <row r="22" spans="1:9" ht="21">
      <c r="A22" s="894" t="s">
        <v>982</v>
      </c>
      <c r="B22" s="894"/>
      <c r="C22" s="894"/>
      <c r="D22" s="261"/>
      <c r="E22" s="252"/>
      <c r="F22" s="252"/>
      <c r="G22" s="252"/>
      <c r="H22" s="252"/>
    </row>
    <row r="23" spans="1:9" ht="21">
      <c r="A23" s="892" t="s">
        <v>497</v>
      </c>
      <c r="B23" s="892"/>
      <c r="C23" s="904" t="s">
        <v>976</v>
      </c>
      <c r="D23" s="905"/>
      <c r="E23" s="905"/>
      <c r="F23" s="906"/>
      <c r="G23" s="898" t="s">
        <v>495</v>
      </c>
      <c r="H23" s="899"/>
      <c r="I23" s="900"/>
    </row>
    <row r="24" spans="1:9" ht="45" customHeight="1">
      <c r="A24" s="893">
        <v>1</v>
      </c>
      <c r="B24" s="893"/>
      <c r="C24" s="907"/>
      <c r="D24" s="908"/>
      <c r="E24" s="908"/>
      <c r="F24" s="909"/>
      <c r="G24" s="898"/>
      <c r="H24" s="899"/>
      <c r="I24" s="900"/>
    </row>
    <row r="25" spans="1:9" ht="45" customHeight="1">
      <c r="A25" s="891">
        <v>2</v>
      </c>
      <c r="B25" s="891"/>
      <c r="C25" s="910"/>
      <c r="D25" s="911"/>
      <c r="E25" s="911"/>
      <c r="F25" s="912"/>
      <c r="G25" s="891"/>
      <c r="H25" s="891"/>
      <c r="I25" s="891"/>
    </row>
    <row r="26" spans="1:9" ht="42.75" customHeight="1">
      <c r="A26" s="891">
        <v>3</v>
      </c>
      <c r="B26" s="891"/>
      <c r="C26" s="910"/>
      <c r="D26" s="911"/>
      <c r="E26" s="911"/>
      <c r="F26" s="912"/>
      <c r="G26" s="891"/>
      <c r="H26" s="891"/>
      <c r="I26" s="891"/>
    </row>
    <row r="27" spans="1:9" ht="42" customHeight="1">
      <c r="A27" s="891">
        <v>4</v>
      </c>
      <c r="B27" s="891"/>
      <c r="C27" s="910"/>
      <c r="D27" s="911"/>
      <c r="E27" s="911"/>
      <c r="F27" s="912"/>
      <c r="G27" s="891"/>
      <c r="H27" s="891"/>
      <c r="I27" s="891"/>
    </row>
    <row r="28" spans="1:9" ht="42" customHeight="1">
      <c r="A28" s="891">
        <v>5</v>
      </c>
      <c r="B28" s="891"/>
      <c r="C28" s="910"/>
      <c r="D28" s="911"/>
      <c r="E28" s="911"/>
      <c r="F28" s="912"/>
      <c r="G28" s="891"/>
      <c r="H28" s="891"/>
      <c r="I28" s="891"/>
    </row>
  </sheetData>
  <mergeCells count="46">
    <mergeCell ref="A27:B27"/>
    <mergeCell ref="G27:I27"/>
    <mergeCell ref="A28:B28"/>
    <mergeCell ref="G28:I28"/>
    <mergeCell ref="C27:F27"/>
    <mergeCell ref="C28:F28"/>
    <mergeCell ref="A25:B25"/>
    <mergeCell ref="G25:I25"/>
    <mergeCell ref="A26:B26"/>
    <mergeCell ref="G26:I26"/>
    <mergeCell ref="C25:F25"/>
    <mergeCell ref="C26:F26"/>
    <mergeCell ref="A23:B23"/>
    <mergeCell ref="G23:I23"/>
    <mergeCell ref="A24:B24"/>
    <mergeCell ref="G24:I24"/>
    <mergeCell ref="C23:F23"/>
    <mergeCell ref="C24:F24"/>
    <mergeCell ref="Q11:R11"/>
    <mergeCell ref="S11:T11"/>
    <mergeCell ref="Q12:R12"/>
    <mergeCell ref="S12:T12"/>
    <mergeCell ref="B13:D13"/>
    <mergeCell ref="F13:G13"/>
    <mergeCell ref="H11:I11"/>
    <mergeCell ref="B12:D12"/>
    <mergeCell ref="F12:G12"/>
    <mergeCell ref="H12:I12"/>
    <mergeCell ref="A1:I1"/>
    <mergeCell ref="A2:I2"/>
    <mergeCell ref="A3:I3"/>
    <mergeCell ref="A4:I4"/>
    <mergeCell ref="A6:F7"/>
    <mergeCell ref="G6:H6"/>
    <mergeCell ref="B19:C19"/>
    <mergeCell ref="A22:C22"/>
    <mergeCell ref="A9:G9"/>
    <mergeCell ref="A11:D11"/>
    <mergeCell ref="F11:G11"/>
    <mergeCell ref="B14:D14"/>
    <mergeCell ref="F14:G14"/>
    <mergeCell ref="A16:C16"/>
    <mergeCell ref="F16:I16"/>
    <mergeCell ref="A17:C18"/>
    <mergeCell ref="D17:D18"/>
    <mergeCell ref="E17:H17"/>
  </mergeCells>
  <dataValidations count="2">
    <dataValidation allowBlank="1" showInputMessage="1" showErrorMessage="1" prompt="กรุณาใส่ผลการดำเนินงานตามรายงานของหน่วยงาน" sqref="F21"/>
    <dataValidation type="list" errorStyle="information" allowBlank="1" showInputMessage="1" showErrorMessage="1" prompt="กรุณาเลือก" sqref="G6:H6">
      <formula1>$N$11:$N$13</formula1>
    </dataValidation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30"/>
  <sheetViews>
    <sheetView view="pageBreakPreview" zoomScale="85" zoomScaleNormal="120" zoomScaleSheetLayoutView="85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6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357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1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+IF(G6&lt;&gt;"ประเมิน",G6,(COUNTIF(B16:B30,$J$1)))</f>
        <v>0</v>
      </c>
      <c r="D11" s="92">
        <f>IF(G6&lt;&gt;"ประเมิน",G6,IF(C11&gt;6,5,IF(C11&gt;5,4,IF(C11&gt;3,3,IF(C11&gt;1,2,IF(C11&gt;0,1,0))))))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374" t="s">
        <v>60</v>
      </c>
    </row>
    <row r="16" spans="1:29" s="87" customFormat="1" ht="212.25" customHeight="1">
      <c r="A16" s="100"/>
      <c r="B16" s="31" t="str">
        <f t="shared" ref="B16:B30" si="0">IF(G16="มีการดำเนินการ",$J$1, IF(A16=0,$J$2,$A$5))</f>
        <v>¨</v>
      </c>
      <c r="C16" s="86" t="s">
        <v>358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359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360</v>
      </c>
      <c r="D22" s="733"/>
      <c r="E22" s="734"/>
      <c r="F22" s="397"/>
      <c r="G22" s="378" t="s">
        <v>32</v>
      </c>
    </row>
    <row r="23" spans="1:7" s="87" customFormat="1" ht="63">
      <c r="A23" s="100"/>
      <c r="B23" s="31" t="str">
        <f t="shared" si="0"/>
        <v>¨</v>
      </c>
      <c r="C23" s="86" t="s">
        <v>361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39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374" t="s">
        <v>60</v>
      </c>
    </row>
    <row r="28" spans="1:7" s="87" customFormat="1" ht="84">
      <c r="A28" s="100"/>
      <c r="B28" s="31" t="str">
        <f t="shared" si="0"/>
        <v>¨</v>
      </c>
      <c r="C28" s="86" t="s">
        <v>362</v>
      </c>
      <c r="D28" s="733"/>
      <c r="E28" s="734"/>
      <c r="F28" s="397"/>
      <c r="G28" s="378" t="s">
        <v>32</v>
      </c>
    </row>
    <row r="29" spans="1:7" s="87" customFormat="1" ht="63">
      <c r="A29" s="100"/>
      <c r="B29" s="31" t="str">
        <f t="shared" si="0"/>
        <v>¨</v>
      </c>
      <c r="C29" s="86" t="s">
        <v>363</v>
      </c>
      <c r="D29" s="733"/>
      <c r="E29" s="734"/>
      <c r="F29" s="397"/>
      <c r="G29" s="378" t="s">
        <v>32</v>
      </c>
    </row>
    <row r="30" spans="1:7" s="87" customFormat="1" ht="84">
      <c r="A30" s="100"/>
      <c r="B30" s="31" t="str">
        <f t="shared" si="0"/>
        <v>¨</v>
      </c>
      <c r="C30" s="86" t="s">
        <v>364</v>
      </c>
      <c r="D30" s="733"/>
      <c r="E30" s="734"/>
      <c r="F30" s="397"/>
      <c r="G30" s="378" t="s">
        <v>32</v>
      </c>
    </row>
  </sheetData>
  <mergeCells count="20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30:E30"/>
    <mergeCell ref="D21:E21"/>
    <mergeCell ref="D22:E22"/>
    <mergeCell ref="D23:E23"/>
    <mergeCell ref="A25:G25"/>
    <mergeCell ref="D27:E27"/>
    <mergeCell ref="D28:E28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 G28:G30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32"/>
  <sheetViews>
    <sheetView view="pageBreakPreview" topLeftCell="A2" zoomScale="80" zoomScaleNormal="120" zoomScaleSheetLayoutView="8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6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.140625" style="78" customWidth="1"/>
    <col min="21" max="21" width="4" style="78" customWidth="1"/>
    <col min="22" max="22" width="4.7109375" style="78" customWidth="1"/>
    <col min="23" max="23" width="3.85546875" style="78" customWidth="1"/>
    <col min="24" max="26" width="4.42578125" style="78" customWidth="1"/>
    <col min="27" max="27" width="5" style="78" customWidth="1"/>
    <col min="28" max="28" width="5.5703125" style="78" customWidth="1"/>
    <col min="29" max="29" width="4.85546875" style="78" customWidth="1"/>
    <col min="30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365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3" t="s">
        <v>226</v>
      </c>
      <c r="AB8" s="203" t="s">
        <v>366</v>
      </c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0"/>
      <c r="AA9" s="201"/>
      <c r="AB9" s="201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2">
        <f>+IF(G6&lt;&gt;"ประเมิน","",(COUNTIF(B31:B31,$J$1)))</f>
        <v>0</v>
      </c>
      <c r="AB10" s="202">
        <f>+IF(G6&lt;&gt;"ประเมิน","",(COUNTIF(B32:B32,$J$1)))</f>
        <v>0</v>
      </c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+IF(G6&lt;&gt;"ประเมิน",G6,(COUNTIF(B16:B32,$J$1)))</f>
        <v>0</v>
      </c>
      <c r="D11" s="92">
        <f>IF(G6&lt;&gt;"ประเมิน",G6,IF(C11&gt;8,5,IF(C11&gt;6,4,IF(C11&gt;3,3,IF(C11&gt;1,2,IF(C11&gt;0,1,0))))))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3" t="s">
        <v>495</v>
      </c>
      <c r="G15" s="374" t="s">
        <v>60</v>
      </c>
    </row>
    <row r="16" spans="1:29" s="87" customFormat="1" ht="212.25" customHeight="1">
      <c r="A16" s="100"/>
      <c r="B16" s="31" t="str">
        <f t="shared" ref="B16:B31" si="0">IF(G16="มีการดำเนินการ",$J$1, IF(A16=0,$J$2,$A$5))</f>
        <v>¨</v>
      </c>
      <c r="C16" s="86" t="s">
        <v>367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368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3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369</v>
      </c>
      <c r="D22" s="733"/>
      <c r="E22" s="734"/>
      <c r="F22" s="397"/>
      <c r="G22" s="378" t="s">
        <v>32</v>
      </c>
    </row>
    <row r="23" spans="1:7" s="87" customFormat="1" ht="252">
      <c r="A23" s="100"/>
      <c r="B23" s="31" t="str">
        <f t="shared" si="0"/>
        <v>¨</v>
      </c>
      <c r="C23" s="86" t="s">
        <v>370</v>
      </c>
      <c r="D23" s="733"/>
      <c r="E23" s="734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39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3" t="s">
        <v>495</v>
      </c>
      <c r="G27" s="374" t="s">
        <v>60</v>
      </c>
    </row>
    <row r="28" spans="1:7" s="87" customFormat="1" ht="84">
      <c r="A28" s="100"/>
      <c r="B28" s="31" t="str">
        <f t="shared" si="0"/>
        <v>¨</v>
      </c>
      <c r="C28" s="86" t="s">
        <v>371</v>
      </c>
      <c r="D28" s="733"/>
      <c r="E28" s="734"/>
      <c r="G28" s="378" t="s">
        <v>32</v>
      </c>
    </row>
    <row r="29" spans="1:7" s="87" customFormat="1" ht="63">
      <c r="A29" s="100"/>
      <c r="B29" s="31" t="str">
        <f t="shared" si="0"/>
        <v>¨</v>
      </c>
      <c r="C29" s="86" t="s">
        <v>372</v>
      </c>
      <c r="D29" s="733"/>
      <c r="E29" s="734"/>
      <c r="F29" s="397"/>
      <c r="G29" s="378" t="s">
        <v>32</v>
      </c>
    </row>
    <row r="30" spans="1:7" s="87" customFormat="1" ht="84">
      <c r="A30" s="100"/>
      <c r="B30" s="31" t="str">
        <f t="shared" si="0"/>
        <v>¨</v>
      </c>
      <c r="C30" s="86" t="s">
        <v>373</v>
      </c>
      <c r="D30" s="733"/>
      <c r="E30" s="734"/>
      <c r="F30" s="397"/>
      <c r="G30" s="378" t="s">
        <v>32</v>
      </c>
    </row>
    <row r="31" spans="1:7" s="87" customFormat="1" ht="63">
      <c r="A31" s="100"/>
      <c r="B31" s="31" t="str">
        <f t="shared" si="0"/>
        <v>¨</v>
      </c>
      <c r="C31" s="86" t="s">
        <v>374</v>
      </c>
      <c r="D31" s="733"/>
      <c r="E31" s="734"/>
      <c r="F31" s="397"/>
      <c r="G31" s="378" t="s">
        <v>32</v>
      </c>
    </row>
    <row r="32" spans="1:7" s="87" customFormat="1" ht="84">
      <c r="A32" s="100"/>
      <c r="B32" s="31" t="str">
        <f t="shared" ref="B32" si="1">IF(G32="มีการดำเนินการ",$J$1, IF(A32=0,$J$2,$A$5))</f>
        <v>¨</v>
      </c>
      <c r="C32" s="86" t="s">
        <v>375</v>
      </c>
      <c r="D32" s="733"/>
      <c r="E32" s="734"/>
      <c r="F32" s="397"/>
      <c r="G32" s="378" t="s">
        <v>32</v>
      </c>
    </row>
  </sheetData>
  <mergeCells count="22"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  <mergeCell ref="D29:E29"/>
    <mergeCell ref="D30:E30"/>
    <mergeCell ref="D31:E31"/>
    <mergeCell ref="D32:E32"/>
    <mergeCell ref="D21:E21"/>
    <mergeCell ref="D22:E22"/>
    <mergeCell ref="D23:E23"/>
    <mergeCell ref="A25:G25"/>
    <mergeCell ref="D27:E27"/>
    <mergeCell ref="D28:E28"/>
  </mergeCells>
  <dataValidations count="2">
    <dataValidation type="list" allowBlank="1" showInputMessage="1" showErrorMessage="1" sqref="G16:G18 G22:G24 G28:G32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106"/>
  <sheetViews>
    <sheetView view="pageBreakPreview" topLeftCell="A4" zoomScaleNormal="100" zoomScaleSheetLayoutView="100" workbookViewId="0">
      <selection activeCell="I13" sqref="I13"/>
    </sheetView>
  </sheetViews>
  <sheetFormatPr defaultRowHeight="12.75"/>
  <sheetData>
    <row r="2" spans="1:10" ht="34.5">
      <c r="A2" s="701" t="s">
        <v>521</v>
      </c>
      <c r="B2" s="702"/>
      <c r="C2" s="702"/>
      <c r="D2" s="702"/>
      <c r="E2" s="702"/>
      <c r="F2" s="702"/>
      <c r="G2" s="702"/>
      <c r="H2" s="702"/>
      <c r="I2" s="702"/>
      <c r="J2" s="702"/>
    </row>
    <row r="5" spans="1:10" ht="23.25">
      <c r="B5" s="82"/>
      <c r="C5" s="82"/>
      <c r="D5" s="82"/>
      <c r="E5" s="82"/>
      <c r="F5" s="82"/>
      <c r="G5" s="82"/>
      <c r="H5" s="82"/>
      <c r="I5" s="82"/>
    </row>
    <row r="6" spans="1:10" s="426" customFormat="1" ht="23.25">
      <c r="B6" s="82"/>
      <c r="C6" s="82" t="s">
        <v>522</v>
      </c>
      <c r="D6" s="700" t="s">
        <v>524</v>
      </c>
      <c r="E6" s="700"/>
      <c r="F6" s="700"/>
      <c r="G6" s="700"/>
      <c r="H6" s="700"/>
      <c r="I6" s="82"/>
    </row>
    <row r="7" spans="1:10" s="426" customFormat="1" ht="23.25">
      <c r="B7" s="82"/>
      <c r="C7" s="82"/>
      <c r="D7" s="703" t="s">
        <v>836</v>
      </c>
      <c r="E7" s="703"/>
      <c r="F7" s="703"/>
      <c r="G7" s="703"/>
      <c r="H7" s="703"/>
      <c r="I7" s="82"/>
    </row>
    <row r="8" spans="1:10" s="426" customFormat="1" ht="23.25">
      <c r="B8" s="82"/>
      <c r="C8" s="82"/>
      <c r="D8" s="703" t="s">
        <v>68</v>
      </c>
      <c r="E8" s="703"/>
      <c r="F8" s="703"/>
      <c r="G8" s="703"/>
      <c r="H8" s="703"/>
      <c r="I8" s="82"/>
    </row>
    <row r="9" spans="1:10" s="426" customFormat="1" ht="23.25">
      <c r="B9" s="82"/>
      <c r="C9" s="82"/>
      <c r="D9" s="703" t="s">
        <v>837</v>
      </c>
      <c r="E9" s="703"/>
      <c r="F9" s="703"/>
      <c r="G9" s="703"/>
      <c r="H9" s="703"/>
      <c r="I9" s="82"/>
    </row>
    <row r="10" spans="1:10" s="426" customFormat="1" ht="23.25">
      <c r="B10" s="82"/>
      <c r="C10" s="82"/>
      <c r="D10" s="82"/>
      <c r="E10" s="82"/>
      <c r="F10" s="82"/>
      <c r="G10" s="82"/>
      <c r="H10" s="82"/>
      <c r="I10" s="82"/>
    </row>
    <row r="11" spans="1:10" s="426" customFormat="1" ht="23.25">
      <c r="B11" s="82"/>
      <c r="C11" s="82"/>
      <c r="D11" s="82"/>
      <c r="E11" s="82"/>
      <c r="F11" s="82"/>
      <c r="G11" s="82"/>
      <c r="H11" s="82"/>
      <c r="I11" s="82"/>
    </row>
    <row r="12" spans="1:10" s="426" customFormat="1" ht="23.25">
      <c r="B12" s="82"/>
      <c r="C12" s="82" t="s">
        <v>522</v>
      </c>
      <c r="D12" s="700" t="s">
        <v>524</v>
      </c>
      <c r="E12" s="700"/>
      <c r="F12" s="700"/>
      <c r="G12" s="700"/>
      <c r="H12" s="700"/>
      <c r="I12" s="82"/>
    </row>
    <row r="13" spans="1:10" s="426" customFormat="1" ht="23.25">
      <c r="B13" s="82"/>
      <c r="C13" s="82"/>
      <c r="D13" s="703" t="s">
        <v>838</v>
      </c>
      <c r="E13" s="703"/>
      <c r="F13" s="703"/>
      <c r="G13" s="703"/>
      <c r="H13" s="703"/>
      <c r="I13" s="82"/>
    </row>
    <row r="14" spans="1:10" s="426" customFormat="1" ht="23.25">
      <c r="B14" s="82"/>
      <c r="C14" s="82"/>
      <c r="D14" s="703" t="s">
        <v>69</v>
      </c>
      <c r="E14" s="703"/>
      <c r="F14" s="703"/>
      <c r="G14" s="703"/>
      <c r="H14" s="703"/>
      <c r="I14" s="82"/>
    </row>
    <row r="15" spans="1:10" s="426" customFormat="1" ht="23.25">
      <c r="B15" s="82"/>
      <c r="C15" s="703" t="s">
        <v>839</v>
      </c>
      <c r="D15" s="703"/>
      <c r="E15" s="703"/>
      <c r="F15" s="703"/>
      <c r="G15" s="703"/>
      <c r="H15" s="703"/>
      <c r="I15" s="703"/>
    </row>
    <row r="16" spans="1:10" s="426" customFormat="1" ht="23.25">
      <c r="B16" s="82"/>
      <c r="C16" s="82"/>
      <c r="D16" s="82"/>
      <c r="E16" s="82"/>
      <c r="F16" s="82"/>
      <c r="G16" s="82"/>
      <c r="H16" s="82"/>
      <c r="I16" s="82"/>
    </row>
    <row r="17" spans="2:9" s="426" customFormat="1" ht="23.25">
      <c r="B17" s="82"/>
      <c r="C17" s="82"/>
      <c r="D17" s="82"/>
      <c r="E17" s="82"/>
      <c r="F17" s="82"/>
      <c r="G17" s="82"/>
      <c r="H17" s="82"/>
      <c r="I17" s="82"/>
    </row>
    <row r="18" spans="2:9" s="426" customFormat="1" ht="23.25">
      <c r="B18" s="82"/>
      <c r="C18" s="82" t="s">
        <v>522</v>
      </c>
      <c r="D18" s="700" t="s">
        <v>524</v>
      </c>
      <c r="E18" s="700"/>
      <c r="F18" s="700"/>
      <c r="G18" s="700"/>
      <c r="H18" s="700"/>
      <c r="I18" s="82"/>
    </row>
    <row r="19" spans="2:9" s="426" customFormat="1" ht="23.25">
      <c r="B19" s="82"/>
      <c r="C19" s="82"/>
      <c r="D19" s="703" t="s">
        <v>840</v>
      </c>
      <c r="E19" s="703"/>
      <c r="F19" s="703"/>
      <c r="G19" s="703"/>
      <c r="H19" s="703"/>
      <c r="I19" s="82"/>
    </row>
    <row r="20" spans="2:9" s="426" customFormat="1" ht="23.25">
      <c r="B20" s="82"/>
      <c r="C20" s="82"/>
      <c r="D20" s="703" t="s">
        <v>69</v>
      </c>
      <c r="E20" s="703"/>
      <c r="F20" s="703"/>
      <c r="G20" s="703"/>
      <c r="H20" s="703"/>
      <c r="I20" s="82"/>
    </row>
    <row r="21" spans="2:9" s="426" customFormat="1" ht="23.25">
      <c r="B21" s="82"/>
      <c r="C21" s="703" t="s">
        <v>841</v>
      </c>
      <c r="D21" s="703"/>
      <c r="E21" s="703"/>
      <c r="F21" s="703"/>
      <c r="G21" s="703"/>
      <c r="H21" s="703"/>
      <c r="I21" s="703"/>
    </row>
    <row r="22" spans="2:9" s="426" customFormat="1" ht="23.25">
      <c r="B22" s="82"/>
      <c r="C22" s="82"/>
      <c r="D22" s="82"/>
      <c r="E22" s="82"/>
      <c r="F22" s="82"/>
      <c r="G22" s="82"/>
      <c r="H22" s="82"/>
      <c r="I22" s="82"/>
    </row>
    <row r="23" spans="2:9" s="426" customFormat="1" ht="23.25">
      <c r="B23" s="82"/>
      <c r="C23" s="82"/>
      <c r="D23" s="82"/>
      <c r="E23" s="82"/>
      <c r="F23" s="82"/>
      <c r="G23" s="82"/>
      <c r="H23" s="82"/>
      <c r="I23" s="82"/>
    </row>
    <row r="24" spans="2:9" s="426" customFormat="1" ht="23.25">
      <c r="B24" s="82"/>
      <c r="C24" s="82" t="s">
        <v>522</v>
      </c>
      <c r="D24" s="700" t="s">
        <v>524</v>
      </c>
      <c r="E24" s="700"/>
      <c r="F24" s="700"/>
      <c r="G24" s="700"/>
      <c r="H24" s="700"/>
      <c r="I24" s="82"/>
    </row>
    <row r="25" spans="2:9" s="426" customFormat="1" ht="23.25">
      <c r="B25" s="82"/>
      <c r="C25" s="82"/>
      <c r="D25" s="703" t="s">
        <v>838</v>
      </c>
      <c r="E25" s="703"/>
      <c r="F25" s="703"/>
      <c r="G25" s="703"/>
      <c r="H25" s="703"/>
      <c r="I25" s="82"/>
    </row>
    <row r="26" spans="2:9" s="426" customFormat="1" ht="23.25">
      <c r="B26" s="82"/>
      <c r="C26" s="82"/>
      <c r="D26" s="703" t="s">
        <v>69</v>
      </c>
      <c r="E26" s="703"/>
      <c r="F26" s="703"/>
      <c r="G26" s="703"/>
      <c r="H26" s="703"/>
      <c r="I26" s="82"/>
    </row>
    <row r="27" spans="2:9" s="426" customFormat="1" ht="23.25">
      <c r="B27" s="82"/>
      <c r="C27" s="703" t="s">
        <v>842</v>
      </c>
      <c r="D27" s="703"/>
      <c r="E27" s="703"/>
      <c r="F27" s="703"/>
      <c r="G27" s="703"/>
      <c r="H27" s="703"/>
      <c r="I27" s="703"/>
    </row>
    <row r="28" spans="2:9" s="426" customFormat="1" ht="23.25">
      <c r="B28" s="82"/>
      <c r="C28" s="82"/>
      <c r="D28" s="82"/>
      <c r="E28" s="82"/>
      <c r="F28" s="82"/>
      <c r="G28" s="82"/>
      <c r="H28" s="82"/>
      <c r="I28" s="82"/>
    </row>
    <row r="29" spans="2:9" s="426" customFormat="1" ht="23.25">
      <c r="B29" s="82"/>
      <c r="C29" s="82"/>
      <c r="D29" s="82"/>
      <c r="E29" s="82"/>
      <c r="F29" s="82"/>
      <c r="G29" s="82"/>
      <c r="H29" s="82"/>
      <c r="I29" s="82"/>
    </row>
    <row r="30" spans="2:9" s="426" customFormat="1" ht="23.25">
      <c r="B30" s="82"/>
      <c r="C30" s="82" t="s">
        <v>522</v>
      </c>
      <c r="D30" s="700" t="s">
        <v>524</v>
      </c>
      <c r="E30" s="700"/>
      <c r="F30" s="700"/>
      <c r="G30" s="700"/>
      <c r="H30" s="700"/>
      <c r="I30" s="82"/>
    </row>
    <row r="31" spans="2:9" s="426" customFormat="1" ht="23.25">
      <c r="B31" s="82"/>
      <c r="C31" s="82"/>
      <c r="D31" s="703" t="s">
        <v>840</v>
      </c>
      <c r="E31" s="703"/>
      <c r="F31" s="703"/>
      <c r="G31" s="703"/>
      <c r="H31" s="703"/>
      <c r="I31" s="82"/>
    </row>
    <row r="32" spans="2:9" s="426" customFormat="1" ht="23.25">
      <c r="B32" s="82"/>
      <c r="C32" s="82"/>
      <c r="D32" s="703" t="s">
        <v>70</v>
      </c>
      <c r="E32" s="703"/>
      <c r="F32" s="703"/>
      <c r="G32" s="703"/>
      <c r="H32" s="703"/>
      <c r="I32" s="82"/>
    </row>
    <row r="33" spans="2:9" s="426" customFormat="1" ht="23.25">
      <c r="B33" s="82"/>
      <c r="C33" s="510" t="s">
        <v>841</v>
      </c>
      <c r="D33" s="510"/>
      <c r="E33" s="510"/>
      <c r="F33" s="510"/>
      <c r="G33" s="510"/>
      <c r="H33" s="510"/>
      <c r="I33" s="510"/>
    </row>
    <row r="34" spans="2:9" s="426" customFormat="1" ht="23.25">
      <c r="B34" s="82"/>
      <c r="C34" s="82"/>
      <c r="D34" s="82"/>
      <c r="E34" s="82"/>
      <c r="F34" s="82"/>
      <c r="G34" s="82"/>
      <c r="H34" s="82"/>
      <c r="I34" s="82"/>
    </row>
    <row r="35" spans="2:9" s="426" customFormat="1" ht="23.25">
      <c r="B35" s="82"/>
      <c r="C35" s="82"/>
      <c r="D35" s="82"/>
      <c r="E35" s="82"/>
      <c r="F35" s="82"/>
      <c r="G35" s="82"/>
      <c r="H35" s="82"/>
      <c r="I35" s="82"/>
    </row>
    <row r="36" spans="2:9" s="426" customFormat="1" ht="23.25">
      <c r="B36" s="82"/>
      <c r="C36" s="82"/>
      <c r="D36" s="82"/>
      <c r="E36" s="82"/>
      <c r="F36" s="82"/>
      <c r="G36" s="82"/>
      <c r="H36" s="82"/>
      <c r="I36" s="82"/>
    </row>
    <row r="37" spans="2:9" s="426" customFormat="1" ht="23.25">
      <c r="B37" s="82"/>
      <c r="C37" s="82"/>
      <c r="D37" s="82"/>
      <c r="E37" s="82"/>
      <c r="F37" s="82"/>
      <c r="G37" s="82"/>
      <c r="H37" s="82"/>
      <c r="I37" s="82"/>
    </row>
    <row r="38" spans="2:9" s="426" customFormat="1" ht="23.25">
      <c r="B38" s="82"/>
      <c r="C38" s="82" t="s">
        <v>522</v>
      </c>
      <c r="D38" s="700" t="s">
        <v>524</v>
      </c>
      <c r="E38" s="700"/>
      <c r="F38" s="700"/>
      <c r="G38" s="700"/>
      <c r="H38" s="700"/>
      <c r="I38" s="82"/>
    </row>
    <row r="39" spans="2:9" s="426" customFormat="1" ht="23.25">
      <c r="B39" s="82"/>
      <c r="C39" s="82"/>
      <c r="D39" s="703" t="s">
        <v>843</v>
      </c>
      <c r="E39" s="703"/>
      <c r="F39" s="703"/>
      <c r="G39" s="703"/>
      <c r="H39" s="703"/>
      <c r="I39" s="82"/>
    </row>
    <row r="40" spans="2:9" s="426" customFormat="1" ht="23.25">
      <c r="B40" s="82"/>
      <c r="C40" s="82"/>
      <c r="D40" s="703" t="s">
        <v>523</v>
      </c>
      <c r="E40" s="703"/>
      <c r="F40" s="703"/>
      <c r="G40" s="703"/>
      <c r="H40" s="703"/>
      <c r="I40" s="82"/>
    </row>
    <row r="41" spans="2:9" s="426" customFormat="1" ht="23.25">
      <c r="B41" s="82"/>
      <c r="C41" s="82"/>
      <c r="D41" s="703" t="s">
        <v>844</v>
      </c>
      <c r="E41" s="703"/>
      <c r="F41" s="703"/>
      <c r="G41" s="703"/>
      <c r="H41" s="703"/>
      <c r="I41" s="82"/>
    </row>
    <row r="42" spans="2:9" s="426" customFormat="1" ht="23.25">
      <c r="B42" s="82"/>
      <c r="C42" s="703" t="s">
        <v>130</v>
      </c>
      <c r="D42" s="703"/>
      <c r="E42" s="703"/>
      <c r="F42" s="703"/>
      <c r="G42" s="703"/>
      <c r="H42" s="703"/>
      <c r="I42" s="703"/>
    </row>
    <row r="43" spans="2:9" s="426" customFormat="1" ht="23.25">
      <c r="B43" s="82"/>
      <c r="C43" s="82"/>
      <c r="D43" s="442"/>
      <c r="E43" s="442"/>
      <c r="F43" s="442"/>
      <c r="G43" s="442"/>
      <c r="H43" s="442"/>
      <c r="I43" s="82"/>
    </row>
    <row r="44" spans="2:9" s="426" customFormat="1" ht="23.25">
      <c r="B44" s="82"/>
      <c r="C44" s="82"/>
      <c r="D44" s="442"/>
      <c r="E44" s="442"/>
      <c r="F44" s="442"/>
      <c r="G44" s="442"/>
      <c r="H44" s="442"/>
      <c r="I44" s="82"/>
    </row>
    <row r="45" spans="2:9" s="426" customFormat="1" ht="23.25">
      <c r="B45" s="82"/>
      <c r="C45" s="82" t="s">
        <v>522</v>
      </c>
      <c r="D45" s="700" t="s">
        <v>524</v>
      </c>
      <c r="E45" s="700"/>
      <c r="F45" s="700"/>
      <c r="G45" s="700"/>
      <c r="H45" s="700"/>
      <c r="I45" s="82"/>
    </row>
    <row r="46" spans="2:9" s="426" customFormat="1" ht="23.25">
      <c r="B46" s="82"/>
      <c r="C46" s="82"/>
      <c r="D46" s="703" t="s">
        <v>845</v>
      </c>
      <c r="E46" s="703"/>
      <c r="F46" s="703"/>
      <c r="G46" s="703"/>
      <c r="H46" s="703"/>
      <c r="I46" s="82"/>
    </row>
    <row r="47" spans="2:9" s="426" customFormat="1" ht="23.25">
      <c r="B47" s="82"/>
      <c r="C47" s="82"/>
      <c r="D47" s="703" t="s">
        <v>523</v>
      </c>
      <c r="E47" s="703"/>
      <c r="F47" s="703"/>
      <c r="G47" s="703"/>
      <c r="H47" s="703"/>
      <c r="I47" s="82"/>
    </row>
    <row r="48" spans="2:9" s="426" customFormat="1" ht="23.25">
      <c r="B48" s="82"/>
      <c r="C48" s="703" t="s">
        <v>846</v>
      </c>
      <c r="D48" s="703"/>
      <c r="E48" s="703"/>
      <c r="F48" s="703"/>
      <c r="G48" s="703"/>
      <c r="H48" s="703"/>
      <c r="I48" s="703"/>
    </row>
    <row r="51" spans="2:9" s="426" customFormat="1" ht="23.25">
      <c r="B51" s="82"/>
      <c r="C51" s="82"/>
      <c r="D51" s="82"/>
      <c r="E51" s="82"/>
      <c r="F51" s="82"/>
      <c r="G51" s="82"/>
      <c r="H51" s="82"/>
      <c r="I51" s="82"/>
    </row>
    <row r="52" spans="2:9" s="426" customFormat="1" ht="23.25">
      <c r="B52" s="82"/>
      <c r="C52" s="82" t="s">
        <v>522</v>
      </c>
      <c r="D52" s="700" t="s">
        <v>524</v>
      </c>
      <c r="E52" s="700"/>
      <c r="F52" s="700"/>
      <c r="G52" s="700"/>
      <c r="H52" s="700"/>
      <c r="I52" s="82"/>
    </row>
    <row r="53" spans="2:9" s="426" customFormat="1" ht="23.25">
      <c r="B53" s="82"/>
      <c r="C53" s="82"/>
      <c r="D53" s="703" t="s">
        <v>838</v>
      </c>
      <c r="E53" s="703"/>
      <c r="F53" s="703"/>
      <c r="G53" s="703"/>
      <c r="H53" s="703"/>
      <c r="I53" s="82"/>
    </row>
    <row r="54" spans="2:9" s="426" customFormat="1" ht="23.25">
      <c r="B54" s="82"/>
      <c r="C54" s="82"/>
      <c r="D54" s="703" t="s">
        <v>523</v>
      </c>
      <c r="E54" s="703"/>
      <c r="F54" s="703"/>
      <c r="G54" s="703"/>
      <c r="H54" s="703"/>
      <c r="I54" s="82"/>
    </row>
    <row r="55" spans="2:9" s="426" customFormat="1" ht="23.25">
      <c r="B55" s="82"/>
      <c r="C55" s="703" t="s">
        <v>847</v>
      </c>
      <c r="D55" s="703"/>
      <c r="E55" s="703"/>
      <c r="F55" s="703"/>
      <c r="G55" s="703"/>
      <c r="H55" s="703"/>
      <c r="I55" s="703"/>
    </row>
    <row r="56" spans="2:9" s="426" customFormat="1" ht="23.25">
      <c r="B56" s="82"/>
      <c r="C56" s="82"/>
      <c r="D56" s="505"/>
      <c r="E56" s="505"/>
      <c r="F56" s="505"/>
      <c r="G56" s="505"/>
      <c r="H56" s="505"/>
      <c r="I56" s="82"/>
    </row>
    <row r="57" spans="2:9" s="426" customFormat="1" ht="23.25">
      <c r="B57" s="82"/>
      <c r="C57" s="82"/>
      <c r="D57" s="505"/>
      <c r="E57" s="505"/>
      <c r="F57" s="505"/>
      <c r="G57" s="505"/>
      <c r="H57" s="505"/>
      <c r="I57" s="82"/>
    </row>
    <row r="58" spans="2:9" s="426" customFormat="1" ht="23.25">
      <c r="B58" s="82"/>
      <c r="C58" s="82" t="s">
        <v>522</v>
      </c>
      <c r="D58" s="700" t="s">
        <v>524</v>
      </c>
      <c r="E58" s="700"/>
      <c r="F58" s="700"/>
      <c r="G58" s="700"/>
      <c r="H58" s="700"/>
      <c r="I58" s="82"/>
    </row>
    <row r="59" spans="2:9" s="426" customFormat="1" ht="23.25">
      <c r="B59" s="82"/>
      <c r="C59" s="82"/>
      <c r="D59" s="703" t="s">
        <v>848</v>
      </c>
      <c r="E59" s="703"/>
      <c r="F59" s="703"/>
      <c r="G59" s="703"/>
      <c r="H59" s="703"/>
      <c r="I59" s="82"/>
    </row>
    <row r="60" spans="2:9" s="426" customFormat="1" ht="23.25">
      <c r="B60" s="82"/>
      <c r="C60" s="82"/>
      <c r="D60" s="703" t="s">
        <v>523</v>
      </c>
      <c r="E60" s="703"/>
      <c r="F60" s="703"/>
      <c r="G60" s="703"/>
      <c r="H60" s="703"/>
      <c r="I60" s="82"/>
    </row>
    <row r="61" spans="2:9" s="426" customFormat="1" ht="23.25">
      <c r="B61" s="82"/>
      <c r="C61" s="703" t="s">
        <v>849</v>
      </c>
      <c r="D61" s="703"/>
      <c r="E61" s="703"/>
      <c r="F61" s="703"/>
      <c r="G61" s="703"/>
      <c r="H61" s="703"/>
      <c r="I61" s="703"/>
    </row>
    <row r="64" spans="2:9" s="426" customFormat="1" ht="23.25">
      <c r="B64" s="82"/>
      <c r="C64" s="82"/>
      <c r="D64" s="82"/>
      <c r="E64" s="82"/>
      <c r="F64" s="82"/>
      <c r="G64" s="82"/>
      <c r="H64" s="82"/>
      <c r="I64" s="82"/>
    </row>
    <row r="65" spans="2:9" s="426" customFormat="1" ht="23.25">
      <c r="B65" s="82"/>
      <c r="C65" s="82"/>
      <c r="D65" s="82"/>
      <c r="E65" s="82"/>
      <c r="F65" s="82"/>
      <c r="G65" s="82"/>
      <c r="H65" s="82"/>
      <c r="I65" s="82"/>
    </row>
    <row r="66" spans="2:9" s="426" customFormat="1" ht="23.25">
      <c r="B66" s="82"/>
      <c r="C66" s="82"/>
      <c r="D66" s="82"/>
      <c r="E66" s="82"/>
      <c r="F66" s="82"/>
      <c r="G66" s="82"/>
      <c r="H66" s="82"/>
      <c r="I66" s="82"/>
    </row>
    <row r="67" spans="2:9" s="426" customFormat="1" ht="23.25">
      <c r="B67" s="82"/>
      <c r="C67" s="82" t="s">
        <v>522</v>
      </c>
      <c r="D67" s="700" t="s">
        <v>524</v>
      </c>
      <c r="E67" s="700"/>
      <c r="F67" s="700"/>
      <c r="G67" s="700"/>
      <c r="H67" s="700"/>
      <c r="I67" s="82"/>
    </row>
    <row r="68" spans="2:9" s="426" customFormat="1" ht="23.25">
      <c r="B68" s="82"/>
      <c r="C68" s="82"/>
      <c r="D68" s="703" t="s">
        <v>850</v>
      </c>
      <c r="E68" s="703"/>
      <c r="F68" s="703"/>
      <c r="G68" s="703"/>
      <c r="H68" s="703"/>
      <c r="I68" s="82"/>
    </row>
    <row r="69" spans="2:9" s="426" customFormat="1" ht="23.25">
      <c r="B69" s="82"/>
      <c r="C69" s="82"/>
      <c r="D69" s="703" t="s">
        <v>523</v>
      </c>
      <c r="E69" s="703"/>
      <c r="F69" s="703"/>
      <c r="G69" s="703"/>
      <c r="H69" s="703"/>
      <c r="I69" s="82"/>
    </row>
    <row r="70" spans="2:9" s="426" customFormat="1" ht="23.25">
      <c r="B70" s="82"/>
      <c r="C70" s="703" t="s">
        <v>851</v>
      </c>
      <c r="D70" s="703"/>
      <c r="E70" s="703"/>
      <c r="F70" s="703"/>
      <c r="G70" s="703"/>
      <c r="H70" s="703"/>
      <c r="I70" s="703"/>
    </row>
    <row r="71" spans="2:9" s="426" customFormat="1" ht="23.25">
      <c r="B71" s="82"/>
      <c r="C71" s="703" t="s">
        <v>130</v>
      </c>
      <c r="D71" s="703"/>
      <c r="E71" s="703"/>
      <c r="F71" s="703"/>
      <c r="G71" s="703"/>
      <c r="H71" s="703"/>
      <c r="I71" s="703"/>
    </row>
    <row r="72" spans="2:9" s="426" customFormat="1" ht="23.25">
      <c r="B72" s="82"/>
      <c r="C72" s="82"/>
      <c r="D72" s="505"/>
      <c r="E72" s="505"/>
      <c r="F72" s="505"/>
      <c r="G72" s="505"/>
      <c r="H72" s="505"/>
      <c r="I72" s="82"/>
    </row>
    <row r="73" spans="2:9" s="426" customFormat="1" ht="23.25">
      <c r="B73" s="82"/>
      <c r="C73" s="82"/>
      <c r="D73" s="505"/>
      <c r="E73" s="505"/>
      <c r="F73" s="505"/>
      <c r="G73" s="505"/>
      <c r="H73" s="505"/>
      <c r="I73" s="82"/>
    </row>
    <row r="74" spans="2:9" s="426" customFormat="1" ht="23.25">
      <c r="B74" s="82"/>
      <c r="C74" s="82" t="s">
        <v>522</v>
      </c>
      <c r="D74" s="700" t="s">
        <v>524</v>
      </c>
      <c r="E74" s="700"/>
      <c r="F74" s="700"/>
      <c r="G74" s="700"/>
      <c r="H74" s="700"/>
      <c r="I74" s="82"/>
    </row>
    <row r="75" spans="2:9" s="426" customFormat="1" ht="23.25">
      <c r="B75" s="82"/>
      <c r="C75" s="82"/>
      <c r="D75" s="703" t="s">
        <v>838</v>
      </c>
      <c r="E75" s="703"/>
      <c r="F75" s="703"/>
      <c r="G75" s="703"/>
      <c r="H75" s="703"/>
      <c r="I75" s="82"/>
    </row>
    <row r="76" spans="2:9" s="426" customFormat="1" ht="23.25">
      <c r="B76" s="82"/>
      <c r="C76" s="82"/>
      <c r="D76" s="703" t="s">
        <v>523</v>
      </c>
      <c r="E76" s="703"/>
      <c r="F76" s="703"/>
      <c r="G76" s="703"/>
      <c r="H76" s="703"/>
      <c r="I76" s="82"/>
    </row>
    <row r="77" spans="2:9" s="426" customFormat="1" ht="23.25">
      <c r="B77" s="82"/>
      <c r="C77" s="703" t="s">
        <v>852</v>
      </c>
      <c r="D77" s="703"/>
      <c r="E77" s="703"/>
      <c r="F77" s="703"/>
      <c r="G77" s="703"/>
      <c r="H77" s="703"/>
      <c r="I77" s="703"/>
    </row>
    <row r="80" spans="2:9" s="426" customFormat="1" ht="23.25">
      <c r="B80" s="82"/>
      <c r="C80" s="82" t="s">
        <v>522</v>
      </c>
      <c r="D80" s="700" t="s">
        <v>524</v>
      </c>
      <c r="E80" s="700"/>
      <c r="F80" s="700"/>
      <c r="G80" s="700"/>
      <c r="H80" s="700"/>
      <c r="I80" s="82"/>
    </row>
    <row r="81" spans="2:9" s="426" customFormat="1" ht="23.25">
      <c r="B81" s="82"/>
      <c r="C81" s="82"/>
      <c r="D81" s="703" t="s">
        <v>853</v>
      </c>
      <c r="E81" s="703"/>
      <c r="F81" s="703"/>
      <c r="G81" s="703"/>
      <c r="H81" s="703"/>
      <c r="I81" s="82"/>
    </row>
    <row r="82" spans="2:9" s="426" customFormat="1" ht="23.25">
      <c r="B82" s="82"/>
      <c r="C82" s="82"/>
      <c r="D82" s="703" t="s">
        <v>523</v>
      </c>
      <c r="E82" s="703"/>
      <c r="F82" s="703"/>
      <c r="G82" s="703"/>
      <c r="H82" s="703"/>
      <c r="I82" s="82"/>
    </row>
    <row r="83" spans="2:9" s="426" customFormat="1" ht="23.25">
      <c r="B83" s="82"/>
      <c r="C83" s="703" t="s">
        <v>854</v>
      </c>
      <c r="D83" s="703"/>
      <c r="E83" s="703"/>
      <c r="F83" s="703"/>
      <c r="G83" s="703"/>
      <c r="H83" s="703"/>
      <c r="I83" s="703"/>
    </row>
    <row r="86" spans="2:9" s="426" customFormat="1" ht="23.25">
      <c r="B86" s="82"/>
      <c r="C86" s="82" t="s">
        <v>522</v>
      </c>
      <c r="D86" s="700" t="s">
        <v>524</v>
      </c>
      <c r="E86" s="700"/>
      <c r="F86" s="700"/>
      <c r="G86" s="700"/>
      <c r="H86" s="700"/>
      <c r="I86" s="82"/>
    </row>
    <row r="87" spans="2:9" s="426" customFormat="1" ht="23.25">
      <c r="B87" s="82"/>
      <c r="C87" s="82"/>
      <c r="D87" s="703" t="s">
        <v>855</v>
      </c>
      <c r="E87" s="703"/>
      <c r="F87" s="703"/>
      <c r="G87" s="703"/>
      <c r="H87" s="703"/>
      <c r="I87" s="82"/>
    </row>
    <row r="88" spans="2:9" s="426" customFormat="1" ht="23.25">
      <c r="B88" s="82"/>
      <c r="C88" s="82"/>
      <c r="D88" s="703" t="s">
        <v>523</v>
      </c>
      <c r="E88" s="703"/>
      <c r="F88" s="703"/>
      <c r="G88" s="703"/>
      <c r="H88" s="703"/>
      <c r="I88" s="82"/>
    </row>
    <row r="89" spans="2:9" s="426" customFormat="1" ht="23.25">
      <c r="B89" s="82"/>
      <c r="C89" s="703" t="s">
        <v>856</v>
      </c>
      <c r="D89" s="703"/>
      <c r="E89" s="703"/>
      <c r="F89" s="703"/>
      <c r="G89" s="703"/>
      <c r="H89" s="703"/>
      <c r="I89" s="703"/>
    </row>
    <row r="96" spans="2:9" s="426" customFormat="1" ht="23.25">
      <c r="B96" s="82"/>
      <c r="C96" s="82" t="s">
        <v>522</v>
      </c>
      <c r="D96" s="700" t="s">
        <v>524</v>
      </c>
      <c r="E96" s="700"/>
      <c r="F96" s="700"/>
      <c r="G96" s="700"/>
      <c r="H96" s="700"/>
      <c r="I96" s="82"/>
    </row>
    <row r="97" spans="2:9" s="426" customFormat="1" ht="23.25">
      <c r="B97" s="82"/>
      <c r="C97" s="82"/>
      <c r="D97" s="703" t="s">
        <v>845</v>
      </c>
      <c r="E97" s="703"/>
      <c r="F97" s="703"/>
      <c r="G97" s="703"/>
      <c r="H97" s="703"/>
      <c r="I97" s="82"/>
    </row>
    <row r="98" spans="2:9" s="426" customFormat="1" ht="23.25">
      <c r="B98" s="82"/>
      <c r="C98" s="82"/>
      <c r="D98" s="703" t="s">
        <v>563</v>
      </c>
      <c r="E98" s="703"/>
      <c r="F98" s="703"/>
      <c r="G98" s="703"/>
      <c r="H98" s="703"/>
      <c r="I98" s="82"/>
    </row>
    <row r="99" spans="2:9" s="426" customFormat="1" ht="23.25">
      <c r="B99" s="82"/>
      <c r="C99" s="82"/>
      <c r="D99" s="703" t="s">
        <v>857</v>
      </c>
      <c r="E99" s="703"/>
      <c r="F99" s="703"/>
      <c r="G99" s="703"/>
      <c r="H99" s="703"/>
      <c r="I99" s="82"/>
    </row>
    <row r="103" spans="2:9" s="426" customFormat="1" ht="23.25">
      <c r="B103" s="82"/>
      <c r="C103" s="82" t="s">
        <v>522</v>
      </c>
      <c r="D103" s="700" t="s">
        <v>524</v>
      </c>
      <c r="E103" s="700"/>
      <c r="F103" s="700"/>
      <c r="G103" s="700"/>
      <c r="H103" s="700"/>
      <c r="I103" s="82"/>
    </row>
    <row r="104" spans="2:9" s="426" customFormat="1" ht="23.25">
      <c r="B104" s="82"/>
      <c r="C104" s="82"/>
      <c r="D104" s="703" t="s">
        <v>858</v>
      </c>
      <c r="E104" s="703"/>
      <c r="F104" s="703"/>
      <c r="G104" s="703"/>
      <c r="H104" s="703"/>
      <c r="I104" s="82"/>
    </row>
    <row r="105" spans="2:9" s="426" customFormat="1" ht="23.25">
      <c r="B105" s="82"/>
      <c r="C105" s="82"/>
      <c r="D105" s="703" t="s">
        <v>563</v>
      </c>
      <c r="E105" s="703"/>
      <c r="F105" s="703"/>
      <c r="G105" s="703"/>
      <c r="H105" s="703"/>
      <c r="I105" s="82"/>
    </row>
    <row r="106" spans="2:9" s="426" customFormat="1" ht="23.25">
      <c r="B106" s="82"/>
      <c r="C106" s="82"/>
      <c r="D106" s="703" t="s">
        <v>859</v>
      </c>
      <c r="E106" s="703"/>
      <c r="F106" s="703"/>
      <c r="G106" s="703"/>
      <c r="H106" s="703"/>
      <c r="I106" s="82"/>
    </row>
  </sheetData>
  <mergeCells count="62">
    <mergeCell ref="D106:H106"/>
    <mergeCell ref="C71:I71"/>
    <mergeCell ref="C77:I77"/>
    <mergeCell ref="C83:I83"/>
    <mergeCell ref="C89:I89"/>
    <mergeCell ref="D98:H98"/>
    <mergeCell ref="D99:H99"/>
    <mergeCell ref="D103:H103"/>
    <mergeCell ref="D104:H104"/>
    <mergeCell ref="D105:H105"/>
    <mergeCell ref="D87:H87"/>
    <mergeCell ref="D88:H88"/>
    <mergeCell ref="D96:H96"/>
    <mergeCell ref="D97:H97"/>
    <mergeCell ref="D80:H80"/>
    <mergeCell ref="D81:H81"/>
    <mergeCell ref="D82:H82"/>
    <mergeCell ref="D86:H86"/>
    <mergeCell ref="C42:I42"/>
    <mergeCell ref="C48:I48"/>
    <mergeCell ref="C55:I55"/>
    <mergeCell ref="C61:I61"/>
    <mergeCell ref="C70:I70"/>
    <mergeCell ref="D69:H69"/>
    <mergeCell ref="D74:H74"/>
    <mergeCell ref="D75:H75"/>
    <mergeCell ref="D76:H76"/>
    <mergeCell ref="D59:H59"/>
    <mergeCell ref="D60:H60"/>
    <mergeCell ref="D67:H67"/>
    <mergeCell ref="D68:H68"/>
    <mergeCell ref="D52:H52"/>
    <mergeCell ref="D53:H53"/>
    <mergeCell ref="D54:H54"/>
    <mergeCell ref="D58:H58"/>
    <mergeCell ref="D46:H46"/>
    <mergeCell ref="D47:H47"/>
    <mergeCell ref="D45:H45"/>
    <mergeCell ref="D31:H31"/>
    <mergeCell ref="D32:H32"/>
    <mergeCell ref="D39:H39"/>
    <mergeCell ref="D40:H40"/>
    <mergeCell ref="D41:H41"/>
    <mergeCell ref="D38:H38"/>
    <mergeCell ref="D30:H30"/>
    <mergeCell ref="D13:H13"/>
    <mergeCell ref="D14:H14"/>
    <mergeCell ref="D18:H18"/>
    <mergeCell ref="D19:H19"/>
    <mergeCell ref="D20:H20"/>
    <mergeCell ref="D24:H24"/>
    <mergeCell ref="D25:H25"/>
    <mergeCell ref="D26:H26"/>
    <mergeCell ref="C27:I27"/>
    <mergeCell ref="C21:I21"/>
    <mergeCell ref="C15:I15"/>
    <mergeCell ref="D12:H12"/>
    <mergeCell ref="A2:J2"/>
    <mergeCell ref="D6:H6"/>
    <mergeCell ref="D7:H7"/>
    <mergeCell ref="D8:H8"/>
    <mergeCell ref="D9:H9"/>
  </mergeCells>
  <pageMargins left="0.7" right="0.7" top="0.75" bottom="0.75" header="0.3" footer="0.3"/>
  <pageSetup paperSize="9" scale="96" orientation="portrait" r:id="rId1"/>
  <rowBreaks count="2" manualBreakCount="2">
    <brk id="63" max="9" man="1"/>
    <brk id="90" max="9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T24"/>
  <sheetViews>
    <sheetView view="pageBreakPreview" zoomScaleNormal="80" zoomScaleSheetLayoutView="100" workbookViewId="0">
      <selection activeCell="A22" sqref="A22:XFD22"/>
    </sheetView>
  </sheetViews>
  <sheetFormatPr defaultRowHeight="12.75"/>
  <cols>
    <col min="1" max="1" width="3.140625" customWidth="1"/>
    <col min="2" max="2" width="5" customWidth="1"/>
    <col min="3" max="3" width="38.5703125" customWidth="1"/>
    <col min="4" max="4" width="7.5703125" customWidth="1"/>
    <col min="5" max="5" width="8.28515625" customWidth="1"/>
    <col min="6" max="6" width="8.42578125" customWidth="1"/>
    <col min="7" max="7" width="8.28515625" customWidth="1"/>
    <col min="8" max="8" width="9.7109375" bestFit="1" customWidth="1"/>
    <col min="9" max="9" width="8.7109375" customWidth="1"/>
    <col min="10" max="15" width="9.140625" hidden="1" customWidth="1"/>
    <col min="16" max="16" width="23.5703125" hidden="1" customWidth="1"/>
    <col min="17" max="17" width="9.140625" customWidth="1"/>
    <col min="18" max="18" width="7.5703125" customWidth="1"/>
    <col min="19" max="19" width="9.140625" hidden="1" customWidth="1"/>
    <col min="20" max="26" width="9.140625" customWidth="1"/>
  </cols>
  <sheetData>
    <row r="1" spans="1:20" s="78" customFormat="1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81" t="s">
        <v>29</v>
      </c>
      <c r="K1" s="51" t="s">
        <v>32</v>
      </c>
      <c r="N1" s="16"/>
      <c r="P1" s="17" t="s">
        <v>9</v>
      </c>
    </row>
    <row r="2" spans="1:20" s="78" customFormat="1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81" t="s">
        <v>30</v>
      </c>
      <c r="K2" s="51" t="s">
        <v>31</v>
      </c>
      <c r="N2" s="16"/>
      <c r="P2" s="17">
        <v>100</v>
      </c>
    </row>
    <row r="3" spans="1:20" s="78" customFormat="1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K3" s="48" t="s">
        <v>72</v>
      </c>
    </row>
    <row r="4" spans="1:20" s="78" customFormat="1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</row>
    <row r="5" spans="1:20" ht="10.5" customHeight="1">
      <c r="A5" s="13"/>
      <c r="B5" s="14"/>
      <c r="C5" s="14"/>
      <c r="D5" s="13"/>
      <c r="E5" s="13"/>
      <c r="F5" s="13"/>
      <c r="G5" s="13"/>
      <c r="H5" s="13"/>
    </row>
    <row r="6" spans="1:20" ht="21">
      <c r="A6" s="787" t="s">
        <v>376</v>
      </c>
      <c r="B6" s="787"/>
      <c r="C6" s="787"/>
      <c r="D6" s="787"/>
      <c r="E6" s="787"/>
      <c r="F6" s="787"/>
      <c r="G6" s="741" t="s">
        <v>61</v>
      </c>
      <c r="H6" s="741"/>
    </row>
    <row r="7" spans="1:20" ht="21" customHeight="1">
      <c r="A7" s="787"/>
      <c r="B7" s="787"/>
      <c r="C7" s="787"/>
      <c r="D7" s="787"/>
      <c r="E7" s="787"/>
      <c r="F7" s="787"/>
      <c r="G7" s="16"/>
      <c r="H7" s="16"/>
    </row>
    <row r="8" spans="1:20" ht="10.5" customHeight="1">
      <c r="A8" s="156"/>
      <c r="B8" s="156"/>
      <c r="C8" s="156"/>
      <c r="D8" s="156"/>
      <c r="E8" s="156"/>
      <c r="F8" s="156"/>
      <c r="G8" s="16"/>
      <c r="H8" s="16"/>
    </row>
    <row r="9" spans="1:20" ht="23.25">
      <c r="A9" s="727" t="s">
        <v>160</v>
      </c>
      <c r="B9" s="727"/>
      <c r="C9" s="727"/>
      <c r="D9" s="727"/>
      <c r="E9" s="727"/>
      <c r="F9" s="727"/>
      <c r="G9" s="727"/>
      <c r="H9" s="17"/>
    </row>
    <row r="10" spans="1:20" ht="13.5" customHeight="1">
      <c r="A10" s="15"/>
      <c r="B10" s="14"/>
      <c r="C10" s="14"/>
      <c r="D10" s="13"/>
      <c r="E10" s="13"/>
      <c r="F10" s="13"/>
      <c r="G10" s="13"/>
      <c r="H10" s="13"/>
    </row>
    <row r="11" spans="1:20" ht="43.5" customHeight="1">
      <c r="A11" s="747" t="s">
        <v>931</v>
      </c>
      <c r="B11" s="748"/>
      <c r="C11" s="748"/>
      <c r="D11" s="749"/>
      <c r="E11" s="155" t="s">
        <v>8</v>
      </c>
      <c r="F11" s="750" t="s">
        <v>929</v>
      </c>
      <c r="G11" s="751"/>
      <c r="H11" s="831" t="s">
        <v>7</v>
      </c>
      <c r="I11" s="831"/>
      <c r="J11" s="48"/>
      <c r="N11" s="78"/>
      <c r="Q11" s="750" t="s">
        <v>605</v>
      </c>
      <c r="R11" s="751"/>
      <c r="S11" s="831" t="s">
        <v>7</v>
      </c>
      <c r="T11" s="831"/>
    </row>
    <row r="12" spans="1:20" ht="23.25">
      <c r="A12" s="20">
        <v>1</v>
      </c>
      <c r="B12" s="743" t="s">
        <v>378</v>
      </c>
      <c r="C12" s="743"/>
      <c r="D12" s="743"/>
      <c r="E12" s="241" t="s">
        <v>39</v>
      </c>
      <c r="F12" s="882">
        <f>G19</f>
        <v>0</v>
      </c>
      <c r="G12" s="882"/>
      <c r="H12" s="853">
        <f>IF(G6&lt;&gt;"ประเมิน",G6,F12)</f>
        <v>0</v>
      </c>
      <c r="I12" s="853"/>
      <c r="N12" s="82" t="s">
        <v>61</v>
      </c>
      <c r="Q12" s="882" t="e">
        <f>H19</f>
        <v>#DIV/0!</v>
      </c>
      <c r="R12" s="882"/>
      <c r="S12" s="853" t="e">
        <f>IF(G6&lt;&gt;"ประเมิน",G6,Q12)</f>
        <v>#DIV/0!</v>
      </c>
      <c r="T12" s="853"/>
    </row>
    <row r="13" spans="1:20" ht="42.75" customHeight="1">
      <c r="A13" s="23"/>
      <c r="B13" s="755"/>
      <c r="C13" s="755"/>
      <c r="D13" s="755"/>
      <c r="E13" s="263"/>
      <c r="F13" s="889"/>
      <c r="G13" s="889"/>
      <c r="H13" s="264"/>
      <c r="I13" s="264"/>
      <c r="N13" s="48" t="s">
        <v>62</v>
      </c>
    </row>
    <row r="14" spans="1:20" ht="44.25" customHeight="1">
      <c r="A14" s="40"/>
      <c r="B14" s="755"/>
      <c r="C14" s="755"/>
      <c r="D14" s="755"/>
      <c r="E14" s="263"/>
      <c r="F14" s="888"/>
      <c r="G14" s="888"/>
      <c r="H14" s="264"/>
      <c r="I14" s="264"/>
      <c r="L14" t="s">
        <v>38</v>
      </c>
      <c r="M14">
        <v>20</v>
      </c>
    </row>
    <row r="15" spans="1:20" ht="44.25" customHeight="1">
      <c r="A15" s="40"/>
      <c r="B15" s="154"/>
      <c r="C15" s="154"/>
      <c r="D15" s="154"/>
      <c r="E15" s="226"/>
      <c r="F15" s="227"/>
      <c r="G15" s="227"/>
      <c r="H15" s="228"/>
      <c r="I15" s="228"/>
    </row>
    <row r="16" spans="1:20" ht="21.75">
      <c r="A16" s="874" t="s">
        <v>77</v>
      </c>
      <c r="B16" s="874"/>
      <c r="C16" s="874"/>
      <c r="D16" s="130"/>
      <c r="E16" s="108"/>
      <c r="F16" s="797"/>
      <c r="G16" s="797"/>
      <c r="H16" s="797"/>
      <c r="I16" s="797"/>
    </row>
    <row r="17" spans="1:8" ht="39.75" customHeight="1">
      <c r="A17" s="745" t="s">
        <v>4</v>
      </c>
      <c r="B17" s="745"/>
      <c r="C17" s="745"/>
      <c r="D17" s="890" t="s">
        <v>2</v>
      </c>
      <c r="E17" s="887" t="s">
        <v>0</v>
      </c>
      <c r="F17" s="887"/>
      <c r="G17" s="887"/>
      <c r="H17" s="887"/>
    </row>
    <row r="18" spans="1:8" ht="21">
      <c r="A18" s="745"/>
      <c r="B18" s="745"/>
      <c r="C18" s="745"/>
      <c r="D18" s="890"/>
      <c r="E18" s="262">
        <v>2554</v>
      </c>
      <c r="F18" s="262">
        <v>2555</v>
      </c>
      <c r="G18" s="262">
        <v>2556</v>
      </c>
      <c r="H18" s="262" t="s">
        <v>1</v>
      </c>
    </row>
    <row r="19" spans="1:8" ht="21.75">
      <c r="A19" s="20">
        <v>1</v>
      </c>
      <c r="B19" s="736" t="s">
        <v>377</v>
      </c>
      <c r="C19" s="737"/>
      <c r="D19" s="188" t="s">
        <v>41</v>
      </c>
      <c r="E19" s="195"/>
      <c r="F19" s="195"/>
      <c r="G19" s="195"/>
      <c r="H19" s="194" t="e">
        <f>AVERAGE(E19:G19)</f>
        <v>#DIV/0!</v>
      </c>
    </row>
    <row r="20" spans="1:8" ht="21">
      <c r="A20" s="259"/>
      <c r="B20" s="260"/>
      <c r="C20" s="260"/>
      <c r="D20" s="261"/>
      <c r="E20" s="252"/>
      <c r="F20" s="252"/>
      <c r="G20" s="252"/>
      <c r="H20" s="252"/>
    </row>
    <row r="21" spans="1:8" ht="21.75">
      <c r="B21" s="258"/>
      <c r="C21" s="40"/>
      <c r="D21" s="40"/>
      <c r="E21" s="40"/>
      <c r="F21" s="163"/>
      <c r="G21" s="163"/>
      <c r="H21" s="163"/>
    </row>
    <row r="22" spans="1:8" ht="21.75">
      <c r="A22" s="40"/>
      <c r="B22" s="40"/>
      <c r="C22" s="849"/>
      <c r="D22" s="849"/>
      <c r="E22" s="849"/>
      <c r="F22" s="163"/>
      <c r="G22" s="163"/>
      <c r="H22" s="163"/>
    </row>
    <row r="23" spans="1:8" ht="21.75">
      <c r="A23" s="1"/>
      <c r="B23" s="2"/>
      <c r="C23" s="2"/>
      <c r="D23" s="1"/>
      <c r="E23" s="1"/>
      <c r="F23" s="1"/>
      <c r="G23" s="1"/>
      <c r="H23" s="1"/>
    </row>
    <row r="24" spans="1:8" ht="21.75">
      <c r="A24" s="3"/>
      <c r="B24" s="2"/>
      <c r="C24" s="2"/>
      <c r="D24" s="1"/>
      <c r="E24" s="1"/>
      <c r="F24" s="1"/>
      <c r="G24" s="1"/>
      <c r="H24" s="1"/>
    </row>
  </sheetData>
  <mergeCells count="28">
    <mergeCell ref="Q11:R11"/>
    <mergeCell ref="S11:T11"/>
    <mergeCell ref="Q12:R12"/>
    <mergeCell ref="S12:T12"/>
    <mergeCell ref="A1:I1"/>
    <mergeCell ref="A2:I2"/>
    <mergeCell ref="A3:I3"/>
    <mergeCell ref="A4:I4"/>
    <mergeCell ref="A6:F7"/>
    <mergeCell ref="G6:H6"/>
    <mergeCell ref="A9:G9"/>
    <mergeCell ref="A11:D11"/>
    <mergeCell ref="F11:G11"/>
    <mergeCell ref="H11:I11"/>
    <mergeCell ref="B12:D12"/>
    <mergeCell ref="F12:G12"/>
    <mergeCell ref="H12:I12"/>
    <mergeCell ref="B13:D13"/>
    <mergeCell ref="F13:G13"/>
    <mergeCell ref="B14:D14"/>
    <mergeCell ref="F14:G14"/>
    <mergeCell ref="B19:C19"/>
    <mergeCell ref="C22:E22"/>
    <mergeCell ref="A16:C16"/>
    <mergeCell ref="F16:I16"/>
    <mergeCell ref="A17:C18"/>
    <mergeCell ref="D17:D18"/>
    <mergeCell ref="E17:H17"/>
  </mergeCells>
  <dataValidations count="3">
    <dataValidation type="list" errorStyle="information" allowBlank="1" showInputMessage="1" showErrorMessage="1" prompt="กรุณาเลือก" sqref="G6:H6">
      <formula1>$N$11:$N$13</formula1>
    </dataValidation>
    <dataValidation allowBlank="1" showInputMessage="1" showErrorMessage="1" prompt="กรุณาใส่คะแนนตามที่หน่วยงานรายงาน_x000a_" sqref="F22"/>
    <dataValidation allowBlank="1" showInputMessage="1" showErrorMessage="1" prompt="กรุณาใส่ผลการดำเนินงานตามรายงานของหน่วยงาน" sqref="F21"/>
  </dataValidations>
  <pageMargins left="0.34" right="0.28999999999999998" top="0.59055118110236227" bottom="0.19685039370078741" header="0.19685039370078741" footer="0.19685039370078741"/>
  <pageSetup paperSize="9" scale="97" orientation="portrait" horizontalDpi="1200" verticalDpi="1200" r:id="rId1"/>
  <headerFooter alignWithMargins="0"/>
  <colBreaks count="1" manualBreakCount="1">
    <brk id="9" max="19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="90" zoomScaleNormal="120" zoomScaleSheetLayoutView="9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4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379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25" t="s">
        <v>495</v>
      </c>
      <c r="G15" s="374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380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381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25" t="s">
        <v>495</v>
      </c>
      <c r="G21" s="374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382</v>
      </c>
      <c r="D22" s="733"/>
      <c r="E22" s="734"/>
      <c r="F22" s="397"/>
      <c r="G22" s="378" t="s">
        <v>32</v>
      </c>
    </row>
    <row r="23" spans="1:7" s="87" customFormat="1" ht="121.5" customHeight="1">
      <c r="A23" s="100"/>
      <c r="B23" s="31" t="str">
        <f t="shared" si="0"/>
        <v>¨</v>
      </c>
      <c r="C23" s="86" t="s">
        <v>383</v>
      </c>
      <c r="D23" s="733"/>
      <c r="E23" s="734"/>
      <c r="F23" s="397"/>
      <c r="G23" s="378" t="s">
        <v>32</v>
      </c>
    </row>
    <row r="24" spans="1:7" s="87" customFormat="1" ht="345.75" customHeight="1">
      <c r="A24" s="100"/>
      <c r="B24" s="31" t="str">
        <f t="shared" si="0"/>
        <v>¨</v>
      </c>
      <c r="C24" s="86" t="s">
        <v>384</v>
      </c>
      <c r="D24" s="733"/>
      <c r="E24" s="734"/>
      <c r="F24" s="440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allowBlank="1" showInputMessage="1" showErrorMessage="1" sqref="G16:G18 G22:G24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scale="68" orientation="landscape" r:id="rId1"/>
  <rowBreaks count="2" manualBreakCount="2">
    <brk id="12" max="16383" man="1"/>
    <brk id="17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24"/>
  <sheetViews>
    <sheetView view="pageBreakPreview" zoomScale="90" zoomScaleNormal="120" zoomScaleSheetLayoutView="90" workbookViewId="0">
      <selection activeCell="A2" sqref="A2:G3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4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4.42578125" style="78" customWidth="1"/>
    <col min="24" max="24" width="4" style="78" customWidth="1"/>
    <col min="25" max="25" width="3.85546875" style="78" customWidth="1"/>
    <col min="26" max="26" width="4" style="78" customWidth="1"/>
    <col min="27" max="28" width="1.7109375" style="78" customWidth="1"/>
    <col min="29" max="29" width="4.5703125" style="78" customWidth="1"/>
    <col min="30" max="30" width="6.28515625" style="78" customWidth="1"/>
    <col min="31" max="31" width="9.140625" style="78" hidden="1" customWidth="1"/>
    <col min="32" max="16384" width="9.140625" style="78"/>
  </cols>
  <sheetData>
    <row r="1" spans="1:29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957</v>
      </c>
      <c r="B6" s="79"/>
      <c r="C6" s="13"/>
      <c r="D6" s="141"/>
      <c r="E6" s="141"/>
      <c r="F6" s="13"/>
      <c r="G6" s="379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1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599" t="s">
        <v>76</v>
      </c>
      <c r="D15" s="732" t="s">
        <v>0</v>
      </c>
      <c r="E15" s="732"/>
      <c r="F15" s="599" t="s">
        <v>495</v>
      </c>
      <c r="G15" s="600" t="s">
        <v>60</v>
      </c>
    </row>
    <row r="16" spans="1:29" s="87" customFormat="1" ht="212.25" customHeight="1">
      <c r="A16" s="100"/>
      <c r="B16" s="31" t="str">
        <f t="shared" ref="B16:B24" si="0">IF(G16="มีการดำเนินการ",$J$1, IF(A16=0,$J$2,$A$5))</f>
        <v>¨</v>
      </c>
      <c r="C16" s="86" t="s">
        <v>958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959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39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599" t="s">
        <v>76</v>
      </c>
      <c r="D21" s="732" t="s">
        <v>0</v>
      </c>
      <c r="E21" s="732"/>
      <c r="F21" s="599" t="s">
        <v>495</v>
      </c>
      <c r="G21" s="60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960</v>
      </c>
      <c r="D22" s="733"/>
      <c r="E22" s="734"/>
      <c r="F22" s="397"/>
      <c r="G22" s="378" t="s">
        <v>32</v>
      </c>
    </row>
    <row r="23" spans="1:7" s="87" customFormat="1" ht="121.5" customHeight="1">
      <c r="A23" s="100"/>
      <c r="B23" s="31" t="str">
        <f t="shared" si="0"/>
        <v>¨</v>
      </c>
      <c r="C23" s="86" t="s">
        <v>961</v>
      </c>
      <c r="D23" s="733"/>
      <c r="E23" s="734"/>
      <c r="F23" s="397"/>
      <c r="G23" s="378" t="s">
        <v>32</v>
      </c>
    </row>
    <row r="24" spans="1:7" s="87" customFormat="1" ht="345.75" customHeight="1">
      <c r="A24" s="100"/>
      <c r="B24" s="31" t="str">
        <f t="shared" si="0"/>
        <v>¨</v>
      </c>
      <c r="C24" s="86" t="s">
        <v>962</v>
      </c>
      <c r="D24" s="733"/>
      <c r="E24" s="734"/>
      <c r="F24" s="440"/>
      <c r="G24" s="378" t="s">
        <v>32</v>
      </c>
    </row>
  </sheetData>
  <mergeCells count="16">
    <mergeCell ref="E10:F10"/>
    <mergeCell ref="A1:G1"/>
    <mergeCell ref="A2:G2"/>
    <mergeCell ref="A3:G3"/>
    <mergeCell ref="A4:G4"/>
    <mergeCell ref="A8:G8"/>
    <mergeCell ref="D21:E21"/>
    <mergeCell ref="D22:E22"/>
    <mergeCell ref="D23:E23"/>
    <mergeCell ref="D24:E24"/>
    <mergeCell ref="E11:F11"/>
    <mergeCell ref="A13:G13"/>
    <mergeCell ref="D15:E15"/>
    <mergeCell ref="D16:E16"/>
    <mergeCell ref="D17:E17"/>
    <mergeCell ref="A19:G19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scale="68" orientation="landscape" r:id="rId1"/>
  <rowBreaks count="2" manualBreakCount="2">
    <brk id="12" max="16383" man="1"/>
    <brk id="17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18"/>
  <sheetViews>
    <sheetView view="pageBreakPreview" topLeftCell="A2" zoomScale="90" zoomScaleNormal="120" zoomScaleSheetLayoutView="90" workbookViewId="0">
      <selection activeCell="F16" sqref="F16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4.71093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3.85546875" style="78" customWidth="1"/>
    <col min="21" max="22" width="4.140625" style="78" customWidth="1"/>
    <col min="23" max="23" width="3.85546875" style="78" customWidth="1"/>
    <col min="24" max="24" width="4" style="78" customWidth="1"/>
    <col min="25" max="26" width="1.7109375" style="78" customWidth="1"/>
    <col min="27" max="27" width="4.5703125" style="78" customWidth="1"/>
    <col min="28" max="28" width="6.28515625" style="78" customWidth="1"/>
    <col min="29" max="29" width="9.140625" style="78" hidden="1" customWidth="1"/>
    <col min="30" max="16384" width="9.140625" style="78"/>
  </cols>
  <sheetData>
    <row r="1" spans="1:27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7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7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7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7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7" ht="45" customHeight="1">
      <c r="A6" s="762" t="s">
        <v>964</v>
      </c>
      <c r="B6" s="762"/>
      <c r="C6" s="762"/>
      <c r="D6" s="762"/>
      <c r="E6" s="762"/>
      <c r="F6" s="913"/>
      <c r="G6" s="379" t="s">
        <v>61</v>
      </c>
      <c r="K6" s="82" t="s">
        <v>62</v>
      </c>
      <c r="N6" s="17"/>
      <c r="O6" s="17"/>
    </row>
    <row r="7" spans="1:27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7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5"/>
      <c r="X8" s="205"/>
      <c r="Y8" s="205"/>
      <c r="AA8" s="85" t="s">
        <v>60</v>
      </c>
    </row>
    <row r="9" spans="1:27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198"/>
      <c r="X9" s="198"/>
      <c r="Y9" s="198"/>
    </row>
    <row r="10" spans="1:27" s="85" customFormat="1" ht="26.25" customHeight="1">
      <c r="B10" s="95"/>
      <c r="C10" s="97" t="s">
        <v>60</v>
      </c>
      <c r="D10" s="150" t="s">
        <v>7</v>
      </c>
      <c r="E10" s="730"/>
      <c r="F10" s="730"/>
      <c r="G10" s="396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+IF(G6&lt;&gt;"ประเมิน","",(COUNTIF(B18:B18,$J$1)))</f>
        <v>0</v>
      </c>
      <c r="W10" s="206"/>
      <c r="X10" s="206"/>
      <c r="Y10" s="206"/>
      <c r="Z10" s="197"/>
      <c r="AA10" s="204">
        <f>SUM(T10:V10)</f>
        <v>0</v>
      </c>
    </row>
    <row r="11" spans="1:27" s="89" customFormat="1" ht="30.75" customHeight="1">
      <c r="B11" s="96"/>
      <c r="C11" s="101">
        <f>+IF(G6&lt;&gt;"ประเมิน",G6,(COUNTIF(B16:B18,$J$1)))</f>
        <v>0</v>
      </c>
      <c r="D11" s="92">
        <f>IF(G6&lt;&gt;"ประเมิน",G6,IF(C11=3,5,IF(C11=2,3,IF(C11=1,1,0))))</f>
        <v>0</v>
      </c>
      <c r="E11" s="731"/>
      <c r="F11" s="731"/>
      <c r="G11" s="158"/>
    </row>
    <row r="12" spans="1:27" s="85" customFormat="1" ht="9" customHeight="1">
      <c r="A12" s="53"/>
      <c r="B12" s="83"/>
      <c r="C12" s="84"/>
      <c r="D12" s="142"/>
      <c r="E12" s="142"/>
      <c r="F12" s="84"/>
      <c r="G12" s="84"/>
    </row>
    <row r="13" spans="1:27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7" s="85" customFormat="1" ht="5.25" customHeight="1">
      <c r="A14" s="84"/>
      <c r="B14" s="83"/>
      <c r="C14" s="84"/>
      <c r="D14" s="142"/>
      <c r="E14" s="142"/>
      <c r="F14" s="84"/>
      <c r="G14" s="84"/>
    </row>
    <row r="15" spans="1:27" s="91" customFormat="1" ht="34.5" customHeight="1">
      <c r="A15" s="98"/>
      <c r="B15" s="99"/>
      <c r="C15" s="599" t="s">
        <v>76</v>
      </c>
      <c r="D15" s="732" t="s">
        <v>0</v>
      </c>
      <c r="E15" s="732"/>
      <c r="F15" s="599" t="s">
        <v>495</v>
      </c>
      <c r="G15" s="600" t="s">
        <v>60</v>
      </c>
    </row>
    <row r="16" spans="1:27" s="87" customFormat="1" ht="156.75" customHeight="1">
      <c r="A16" s="100"/>
      <c r="B16" s="31" t="str">
        <f t="shared" ref="B16:B18" si="0">IF(G16="มีการดำเนินการ",$J$1, IF(A16=0,$J$2,$A$5))</f>
        <v>¨</v>
      </c>
      <c r="C16" s="86" t="s">
        <v>963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965</v>
      </c>
      <c r="D17" s="733"/>
      <c r="E17" s="734"/>
      <c r="F17" s="397"/>
      <c r="G17" s="378" t="s">
        <v>32</v>
      </c>
    </row>
    <row r="18" spans="1:7" s="87" customFormat="1" ht="183.75" customHeight="1">
      <c r="A18" s="100"/>
      <c r="B18" s="31" t="str">
        <f t="shared" si="0"/>
        <v>¨</v>
      </c>
      <c r="C18" s="94" t="s">
        <v>966</v>
      </c>
      <c r="D18" s="733"/>
      <c r="E18" s="734"/>
      <c r="F18" s="397"/>
      <c r="G18" s="378" t="s">
        <v>32</v>
      </c>
    </row>
  </sheetData>
  <mergeCells count="13">
    <mergeCell ref="A1:G1"/>
    <mergeCell ref="A2:G2"/>
    <mergeCell ref="A3:G3"/>
    <mergeCell ref="A4:G4"/>
    <mergeCell ref="A8:G8"/>
    <mergeCell ref="D18:E18"/>
    <mergeCell ref="A6:F6"/>
    <mergeCell ref="E11:F11"/>
    <mergeCell ref="A13:G13"/>
    <mergeCell ref="D15:E15"/>
    <mergeCell ref="D16:E16"/>
    <mergeCell ref="D17:E17"/>
    <mergeCell ref="E10:F10"/>
  </mergeCells>
  <dataValidations count="2">
    <dataValidation type="list" allowBlank="1" showInputMessage="1" showErrorMessage="1" sqref="G16:G18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scale="68" orientation="landscape" r:id="rId1"/>
  <rowBreaks count="1" manualBreakCount="1">
    <brk id="12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="84" zoomScaleNormal="100" zoomScaleSheetLayoutView="84" workbookViewId="0">
      <pane ySplit="5" topLeftCell="A6" activePane="bottomLeft" state="frozen"/>
      <selection pane="bottomLeft" activeCell="C73" sqref="C73"/>
    </sheetView>
  </sheetViews>
  <sheetFormatPr defaultRowHeight="21"/>
  <cols>
    <col min="1" max="1" width="64.5703125" style="276" customWidth="1"/>
    <col min="2" max="2" width="8.140625" style="361" customWidth="1"/>
    <col min="3" max="3" width="9.7109375" style="362" customWidth="1"/>
    <col min="4" max="4" width="3" style="362" customWidth="1"/>
    <col min="5" max="5" width="3.28515625" style="362" customWidth="1"/>
    <col min="6" max="7" width="2.85546875" style="362" customWidth="1"/>
    <col min="8" max="8" width="3" style="362" customWidth="1"/>
    <col min="9" max="9" width="2.5703125" style="362" customWidth="1"/>
    <col min="10" max="10" width="3" style="362" customWidth="1"/>
    <col min="11" max="11" width="2.7109375" style="362" customWidth="1"/>
    <col min="12" max="12" width="2.42578125" style="362" customWidth="1"/>
    <col min="13" max="13" width="13.85546875" style="276" customWidth="1"/>
    <col min="14" max="14" width="9.140625" style="276" customWidth="1"/>
    <col min="15" max="15" width="13.42578125" style="276" customWidth="1"/>
    <col min="16" max="16" width="19.42578125" style="277" customWidth="1"/>
    <col min="17" max="17" width="13.5703125" style="276" customWidth="1"/>
    <col min="18" max="18" width="24.5703125" style="277" customWidth="1"/>
    <col min="19" max="19" width="15.7109375" style="277" hidden="1" customWidth="1"/>
    <col min="20" max="21" width="9.140625" style="277"/>
    <col min="22" max="25" width="0" style="277" hidden="1" customWidth="1"/>
    <col min="26" max="256" width="9.140625" style="277"/>
    <col min="257" max="257" width="64.5703125" style="277" customWidth="1"/>
    <col min="258" max="258" width="8.42578125" style="277" customWidth="1"/>
    <col min="259" max="259" width="9.7109375" style="277" bestFit="1" customWidth="1"/>
    <col min="260" max="260" width="3" style="277" customWidth="1"/>
    <col min="261" max="261" width="3.28515625" style="277" customWidth="1"/>
    <col min="262" max="263" width="2.85546875" style="277" customWidth="1"/>
    <col min="264" max="264" width="3" style="277" customWidth="1"/>
    <col min="265" max="265" width="2.5703125" style="277" customWidth="1"/>
    <col min="266" max="266" width="3" style="277" customWidth="1"/>
    <col min="267" max="267" width="2.7109375" style="277" customWidth="1"/>
    <col min="268" max="268" width="2.42578125" style="277" customWidth="1"/>
    <col min="269" max="269" width="13.85546875" style="277" bestFit="1" customWidth="1"/>
    <col min="270" max="270" width="9.140625" style="277"/>
    <col min="271" max="271" width="13.42578125" style="277" customWidth="1"/>
    <col min="272" max="272" width="19.42578125" style="277" customWidth="1"/>
    <col min="273" max="273" width="13.5703125" style="277" customWidth="1"/>
    <col min="274" max="274" width="24.5703125" style="277" customWidth="1"/>
    <col min="275" max="275" width="11.28515625" style="277" bestFit="1" customWidth="1"/>
    <col min="276" max="512" width="9.140625" style="277"/>
    <col min="513" max="513" width="64.5703125" style="277" customWidth="1"/>
    <col min="514" max="514" width="8.42578125" style="277" customWidth="1"/>
    <col min="515" max="515" width="9.7109375" style="277" bestFit="1" customWidth="1"/>
    <col min="516" max="516" width="3" style="277" customWidth="1"/>
    <col min="517" max="517" width="3.28515625" style="277" customWidth="1"/>
    <col min="518" max="519" width="2.85546875" style="277" customWidth="1"/>
    <col min="520" max="520" width="3" style="277" customWidth="1"/>
    <col min="521" max="521" width="2.5703125" style="277" customWidth="1"/>
    <col min="522" max="522" width="3" style="277" customWidth="1"/>
    <col min="523" max="523" width="2.7109375" style="277" customWidth="1"/>
    <col min="524" max="524" width="2.42578125" style="277" customWidth="1"/>
    <col min="525" max="525" width="13.85546875" style="277" bestFit="1" customWidth="1"/>
    <col min="526" max="526" width="9.140625" style="277"/>
    <col min="527" max="527" width="13.42578125" style="277" customWidth="1"/>
    <col min="528" max="528" width="19.42578125" style="277" customWidth="1"/>
    <col min="529" max="529" width="13.5703125" style="277" customWidth="1"/>
    <col min="530" max="530" width="24.5703125" style="277" customWidth="1"/>
    <col min="531" max="531" width="11.28515625" style="277" bestFit="1" customWidth="1"/>
    <col min="532" max="768" width="9.140625" style="277"/>
    <col min="769" max="769" width="64.5703125" style="277" customWidth="1"/>
    <col min="770" max="770" width="8.42578125" style="277" customWidth="1"/>
    <col min="771" max="771" width="9.7109375" style="277" bestFit="1" customWidth="1"/>
    <col min="772" max="772" width="3" style="277" customWidth="1"/>
    <col min="773" max="773" width="3.28515625" style="277" customWidth="1"/>
    <col min="774" max="775" width="2.85546875" style="277" customWidth="1"/>
    <col min="776" max="776" width="3" style="277" customWidth="1"/>
    <col min="777" max="777" width="2.5703125" style="277" customWidth="1"/>
    <col min="778" max="778" width="3" style="277" customWidth="1"/>
    <col min="779" max="779" width="2.7109375" style="277" customWidth="1"/>
    <col min="780" max="780" width="2.42578125" style="277" customWidth="1"/>
    <col min="781" max="781" width="13.85546875" style="277" bestFit="1" customWidth="1"/>
    <col min="782" max="782" width="9.140625" style="277"/>
    <col min="783" max="783" width="13.42578125" style="277" customWidth="1"/>
    <col min="784" max="784" width="19.42578125" style="277" customWidth="1"/>
    <col min="785" max="785" width="13.5703125" style="277" customWidth="1"/>
    <col min="786" max="786" width="24.5703125" style="277" customWidth="1"/>
    <col min="787" max="787" width="11.28515625" style="277" bestFit="1" customWidth="1"/>
    <col min="788" max="1024" width="9.140625" style="277"/>
    <col min="1025" max="1025" width="64.5703125" style="277" customWidth="1"/>
    <col min="1026" max="1026" width="8.42578125" style="277" customWidth="1"/>
    <col min="1027" max="1027" width="9.7109375" style="277" bestFit="1" customWidth="1"/>
    <col min="1028" max="1028" width="3" style="277" customWidth="1"/>
    <col min="1029" max="1029" width="3.28515625" style="277" customWidth="1"/>
    <col min="1030" max="1031" width="2.85546875" style="277" customWidth="1"/>
    <col min="1032" max="1032" width="3" style="277" customWidth="1"/>
    <col min="1033" max="1033" width="2.5703125" style="277" customWidth="1"/>
    <col min="1034" max="1034" width="3" style="277" customWidth="1"/>
    <col min="1035" max="1035" width="2.7109375" style="277" customWidth="1"/>
    <col min="1036" max="1036" width="2.42578125" style="277" customWidth="1"/>
    <col min="1037" max="1037" width="13.85546875" style="277" bestFit="1" customWidth="1"/>
    <col min="1038" max="1038" width="9.140625" style="277"/>
    <col min="1039" max="1039" width="13.42578125" style="277" customWidth="1"/>
    <col min="1040" max="1040" width="19.42578125" style="277" customWidth="1"/>
    <col min="1041" max="1041" width="13.5703125" style="277" customWidth="1"/>
    <col min="1042" max="1042" width="24.5703125" style="277" customWidth="1"/>
    <col min="1043" max="1043" width="11.28515625" style="277" bestFit="1" customWidth="1"/>
    <col min="1044" max="1280" width="9.140625" style="277"/>
    <col min="1281" max="1281" width="64.5703125" style="277" customWidth="1"/>
    <col min="1282" max="1282" width="8.42578125" style="277" customWidth="1"/>
    <col min="1283" max="1283" width="9.7109375" style="277" bestFit="1" customWidth="1"/>
    <col min="1284" max="1284" width="3" style="277" customWidth="1"/>
    <col min="1285" max="1285" width="3.28515625" style="277" customWidth="1"/>
    <col min="1286" max="1287" width="2.85546875" style="277" customWidth="1"/>
    <col min="1288" max="1288" width="3" style="277" customWidth="1"/>
    <col min="1289" max="1289" width="2.5703125" style="277" customWidth="1"/>
    <col min="1290" max="1290" width="3" style="277" customWidth="1"/>
    <col min="1291" max="1291" width="2.7109375" style="277" customWidth="1"/>
    <col min="1292" max="1292" width="2.42578125" style="277" customWidth="1"/>
    <col min="1293" max="1293" width="13.85546875" style="277" bestFit="1" customWidth="1"/>
    <col min="1294" max="1294" width="9.140625" style="277"/>
    <col min="1295" max="1295" width="13.42578125" style="277" customWidth="1"/>
    <col min="1296" max="1296" width="19.42578125" style="277" customWidth="1"/>
    <col min="1297" max="1297" width="13.5703125" style="277" customWidth="1"/>
    <col min="1298" max="1298" width="24.5703125" style="277" customWidth="1"/>
    <col min="1299" max="1299" width="11.28515625" style="277" bestFit="1" customWidth="1"/>
    <col min="1300" max="1536" width="9.140625" style="277"/>
    <col min="1537" max="1537" width="64.5703125" style="277" customWidth="1"/>
    <col min="1538" max="1538" width="8.42578125" style="277" customWidth="1"/>
    <col min="1539" max="1539" width="9.7109375" style="277" bestFit="1" customWidth="1"/>
    <col min="1540" max="1540" width="3" style="277" customWidth="1"/>
    <col min="1541" max="1541" width="3.28515625" style="277" customWidth="1"/>
    <col min="1542" max="1543" width="2.85546875" style="277" customWidth="1"/>
    <col min="1544" max="1544" width="3" style="277" customWidth="1"/>
    <col min="1545" max="1545" width="2.5703125" style="277" customWidth="1"/>
    <col min="1546" max="1546" width="3" style="277" customWidth="1"/>
    <col min="1547" max="1547" width="2.7109375" style="277" customWidth="1"/>
    <col min="1548" max="1548" width="2.42578125" style="277" customWidth="1"/>
    <col min="1549" max="1549" width="13.85546875" style="277" bestFit="1" customWidth="1"/>
    <col min="1550" max="1550" width="9.140625" style="277"/>
    <col min="1551" max="1551" width="13.42578125" style="277" customWidth="1"/>
    <col min="1552" max="1552" width="19.42578125" style="277" customWidth="1"/>
    <col min="1553" max="1553" width="13.5703125" style="277" customWidth="1"/>
    <col min="1554" max="1554" width="24.5703125" style="277" customWidth="1"/>
    <col min="1555" max="1555" width="11.28515625" style="277" bestFit="1" customWidth="1"/>
    <col min="1556" max="1792" width="9.140625" style="277"/>
    <col min="1793" max="1793" width="64.5703125" style="277" customWidth="1"/>
    <col min="1794" max="1794" width="8.42578125" style="277" customWidth="1"/>
    <col min="1795" max="1795" width="9.7109375" style="277" bestFit="1" customWidth="1"/>
    <col min="1796" max="1796" width="3" style="277" customWidth="1"/>
    <col min="1797" max="1797" width="3.28515625" style="277" customWidth="1"/>
    <col min="1798" max="1799" width="2.85546875" style="277" customWidth="1"/>
    <col min="1800" max="1800" width="3" style="277" customWidth="1"/>
    <col min="1801" max="1801" width="2.5703125" style="277" customWidth="1"/>
    <col min="1802" max="1802" width="3" style="277" customWidth="1"/>
    <col min="1803" max="1803" width="2.7109375" style="277" customWidth="1"/>
    <col min="1804" max="1804" width="2.42578125" style="277" customWidth="1"/>
    <col min="1805" max="1805" width="13.85546875" style="277" bestFit="1" customWidth="1"/>
    <col min="1806" max="1806" width="9.140625" style="277"/>
    <col min="1807" max="1807" width="13.42578125" style="277" customWidth="1"/>
    <col min="1808" max="1808" width="19.42578125" style="277" customWidth="1"/>
    <col min="1809" max="1809" width="13.5703125" style="277" customWidth="1"/>
    <col min="1810" max="1810" width="24.5703125" style="277" customWidth="1"/>
    <col min="1811" max="1811" width="11.28515625" style="277" bestFit="1" customWidth="1"/>
    <col min="1812" max="2048" width="9.140625" style="277"/>
    <col min="2049" max="2049" width="64.5703125" style="277" customWidth="1"/>
    <col min="2050" max="2050" width="8.42578125" style="277" customWidth="1"/>
    <col min="2051" max="2051" width="9.7109375" style="277" bestFit="1" customWidth="1"/>
    <col min="2052" max="2052" width="3" style="277" customWidth="1"/>
    <col min="2053" max="2053" width="3.28515625" style="277" customWidth="1"/>
    <col min="2054" max="2055" width="2.85546875" style="277" customWidth="1"/>
    <col min="2056" max="2056" width="3" style="277" customWidth="1"/>
    <col min="2057" max="2057" width="2.5703125" style="277" customWidth="1"/>
    <col min="2058" max="2058" width="3" style="277" customWidth="1"/>
    <col min="2059" max="2059" width="2.7109375" style="277" customWidth="1"/>
    <col min="2060" max="2060" width="2.42578125" style="277" customWidth="1"/>
    <col min="2061" max="2061" width="13.85546875" style="277" bestFit="1" customWidth="1"/>
    <col min="2062" max="2062" width="9.140625" style="277"/>
    <col min="2063" max="2063" width="13.42578125" style="277" customWidth="1"/>
    <col min="2064" max="2064" width="19.42578125" style="277" customWidth="1"/>
    <col min="2065" max="2065" width="13.5703125" style="277" customWidth="1"/>
    <col min="2066" max="2066" width="24.5703125" style="277" customWidth="1"/>
    <col min="2067" max="2067" width="11.28515625" style="277" bestFit="1" customWidth="1"/>
    <col min="2068" max="2304" width="9.140625" style="277"/>
    <col min="2305" max="2305" width="64.5703125" style="277" customWidth="1"/>
    <col min="2306" max="2306" width="8.42578125" style="277" customWidth="1"/>
    <col min="2307" max="2307" width="9.7109375" style="277" bestFit="1" customWidth="1"/>
    <col min="2308" max="2308" width="3" style="277" customWidth="1"/>
    <col min="2309" max="2309" width="3.28515625" style="277" customWidth="1"/>
    <col min="2310" max="2311" width="2.85546875" style="277" customWidth="1"/>
    <col min="2312" max="2312" width="3" style="277" customWidth="1"/>
    <col min="2313" max="2313" width="2.5703125" style="277" customWidth="1"/>
    <col min="2314" max="2314" width="3" style="277" customWidth="1"/>
    <col min="2315" max="2315" width="2.7109375" style="277" customWidth="1"/>
    <col min="2316" max="2316" width="2.42578125" style="277" customWidth="1"/>
    <col min="2317" max="2317" width="13.85546875" style="277" bestFit="1" customWidth="1"/>
    <col min="2318" max="2318" width="9.140625" style="277"/>
    <col min="2319" max="2319" width="13.42578125" style="277" customWidth="1"/>
    <col min="2320" max="2320" width="19.42578125" style="277" customWidth="1"/>
    <col min="2321" max="2321" width="13.5703125" style="277" customWidth="1"/>
    <col min="2322" max="2322" width="24.5703125" style="277" customWidth="1"/>
    <col min="2323" max="2323" width="11.28515625" style="277" bestFit="1" customWidth="1"/>
    <col min="2324" max="2560" width="9.140625" style="277"/>
    <col min="2561" max="2561" width="64.5703125" style="277" customWidth="1"/>
    <col min="2562" max="2562" width="8.42578125" style="277" customWidth="1"/>
    <col min="2563" max="2563" width="9.7109375" style="277" bestFit="1" customWidth="1"/>
    <col min="2564" max="2564" width="3" style="277" customWidth="1"/>
    <col min="2565" max="2565" width="3.28515625" style="277" customWidth="1"/>
    <col min="2566" max="2567" width="2.85546875" style="277" customWidth="1"/>
    <col min="2568" max="2568" width="3" style="277" customWidth="1"/>
    <col min="2569" max="2569" width="2.5703125" style="277" customWidth="1"/>
    <col min="2570" max="2570" width="3" style="277" customWidth="1"/>
    <col min="2571" max="2571" width="2.7109375" style="277" customWidth="1"/>
    <col min="2572" max="2572" width="2.42578125" style="277" customWidth="1"/>
    <col min="2573" max="2573" width="13.85546875" style="277" bestFit="1" customWidth="1"/>
    <col min="2574" max="2574" width="9.140625" style="277"/>
    <col min="2575" max="2575" width="13.42578125" style="277" customWidth="1"/>
    <col min="2576" max="2576" width="19.42578125" style="277" customWidth="1"/>
    <col min="2577" max="2577" width="13.5703125" style="277" customWidth="1"/>
    <col min="2578" max="2578" width="24.5703125" style="277" customWidth="1"/>
    <col min="2579" max="2579" width="11.28515625" style="277" bestFit="1" customWidth="1"/>
    <col min="2580" max="2816" width="9.140625" style="277"/>
    <col min="2817" max="2817" width="64.5703125" style="277" customWidth="1"/>
    <col min="2818" max="2818" width="8.42578125" style="277" customWidth="1"/>
    <col min="2819" max="2819" width="9.7109375" style="277" bestFit="1" customWidth="1"/>
    <col min="2820" max="2820" width="3" style="277" customWidth="1"/>
    <col min="2821" max="2821" width="3.28515625" style="277" customWidth="1"/>
    <col min="2822" max="2823" width="2.85546875" style="277" customWidth="1"/>
    <col min="2824" max="2824" width="3" style="277" customWidth="1"/>
    <col min="2825" max="2825" width="2.5703125" style="277" customWidth="1"/>
    <col min="2826" max="2826" width="3" style="277" customWidth="1"/>
    <col min="2827" max="2827" width="2.7109375" style="277" customWidth="1"/>
    <col min="2828" max="2828" width="2.42578125" style="277" customWidth="1"/>
    <col min="2829" max="2829" width="13.85546875" style="277" bestFit="1" customWidth="1"/>
    <col min="2830" max="2830" width="9.140625" style="277"/>
    <col min="2831" max="2831" width="13.42578125" style="277" customWidth="1"/>
    <col min="2832" max="2832" width="19.42578125" style="277" customWidth="1"/>
    <col min="2833" max="2833" width="13.5703125" style="277" customWidth="1"/>
    <col min="2834" max="2834" width="24.5703125" style="277" customWidth="1"/>
    <col min="2835" max="2835" width="11.28515625" style="277" bestFit="1" customWidth="1"/>
    <col min="2836" max="3072" width="9.140625" style="277"/>
    <col min="3073" max="3073" width="64.5703125" style="277" customWidth="1"/>
    <col min="3074" max="3074" width="8.42578125" style="277" customWidth="1"/>
    <col min="3075" max="3075" width="9.7109375" style="277" bestFit="1" customWidth="1"/>
    <col min="3076" max="3076" width="3" style="277" customWidth="1"/>
    <col min="3077" max="3077" width="3.28515625" style="277" customWidth="1"/>
    <col min="3078" max="3079" width="2.85546875" style="277" customWidth="1"/>
    <col min="3080" max="3080" width="3" style="277" customWidth="1"/>
    <col min="3081" max="3081" width="2.5703125" style="277" customWidth="1"/>
    <col min="3082" max="3082" width="3" style="277" customWidth="1"/>
    <col min="3083" max="3083" width="2.7109375" style="277" customWidth="1"/>
    <col min="3084" max="3084" width="2.42578125" style="277" customWidth="1"/>
    <col min="3085" max="3085" width="13.85546875" style="277" bestFit="1" customWidth="1"/>
    <col min="3086" max="3086" width="9.140625" style="277"/>
    <col min="3087" max="3087" width="13.42578125" style="277" customWidth="1"/>
    <col min="3088" max="3088" width="19.42578125" style="277" customWidth="1"/>
    <col min="3089" max="3089" width="13.5703125" style="277" customWidth="1"/>
    <col min="3090" max="3090" width="24.5703125" style="277" customWidth="1"/>
    <col min="3091" max="3091" width="11.28515625" style="277" bestFit="1" customWidth="1"/>
    <col min="3092" max="3328" width="9.140625" style="277"/>
    <col min="3329" max="3329" width="64.5703125" style="277" customWidth="1"/>
    <col min="3330" max="3330" width="8.42578125" style="277" customWidth="1"/>
    <col min="3331" max="3331" width="9.7109375" style="277" bestFit="1" customWidth="1"/>
    <col min="3332" max="3332" width="3" style="277" customWidth="1"/>
    <col min="3333" max="3333" width="3.28515625" style="277" customWidth="1"/>
    <col min="3334" max="3335" width="2.85546875" style="277" customWidth="1"/>
    <col min="3336" max="3336" width="3" style="277" customWidth="1"/>
    <col min="3337" max="3337" width="2.5703125" style="277" customWidth="1"/>
    <col min="3338" max="3338" width="3" style="277" customWidth="1"/>
    <col min="3339" max="3339" width="2.7109375" style="277" customWidth="1"/>
    <col min="3340" max="3340" width="2.42578125" style="277" customWidth="1"/>
    <col min="3341" max="3341" width="13.85546875" style="277" bestFit="1" customWidth="1"/>
    <col min="3342" max="3342" width="9.140625" style="277"/>
    <col min="3343" max="3343" width="13.42578125" style="277" customWidth="1"/>
    <col min="3344" max="3344" width="19.42578125" style="277" customWidth="1"/>
    <col min="3345" max="3345" width="13.5703125" style="277" customWidth="1"/>
    <col min="3346" max="3346" width="24.5703125" style="277" customWidth="1"/>
    <col min="3347" max="3347" width="11.28515625" style="277" bestFit="1" customWidth="1"/>
    <col min="3348" max="3584" width="9.140625" style="277"/>
    <col min="3585" max="3585" width="64.5703125" style="277" customWidth="1"/>
    <col min="3586" max="3586" width="8.42578125" style="277" customWidth="1"/>
    <col min="3587" max="3587" width="9.7109375" style="277" bestFit="1" customWidth="1"/>
    <col min="3588" max="3588" width="3" style="277" customWidth="1"/>
    <col min="3589" max="3589" width="3.28515625" style="277" customWidth="1"/>
    <col min="3590" max="3591" width="2.85546875" style="277" customWidth="1"/>
    <col min="3592" max="3592" width="3" style="277" customWidth="1"/>
    <col min="3593" max="3593" width="2.5703125" style="277" customWidth="1"/>
    <col min="3594" max="3594" width="3" style="277" customWidth="1"/>
    <col min="3595" max="3595" width="2.7109375" style="277" customWidth="1"/>
    <col min="3596" max="3596" width="2.42578125" style="277" customWidth="1"/>
    <col min="3597" max="3597" width="13.85546875" style="277" bestFit="1" customWidth="1"/>
    <col min="3598" max="3598" width="9.140625" style="277"/>
    <col min="3599" max="3599" width="13.42578125" style="277" customWidth="1"/>
    <col min="3600" max="3600" width="19.42578125" style="277" customWidth="1"/>
    <col min="3601" max="3601" width="13.5703125" style="277" customWidth="1"/>
    <col min="3602" max="3602" width="24.5703125" style="277" customWidth="1"/>
    <col min="3603" max="3603" width="11.28515625" style="277" bestFit="1" customWidth="1"/>
    <col min="3604" max="3840" width="9.140625" style="277"/>
    <col min="3841" max="3841" width="64.5703125" style="277" customWidth="1"/>
    <col min="3842" max="3842" width="8.42578125" style="277" customWidth="1"/>
    <col min="3843" max="3843" width="9.7109375" style="277" bestFit="1" customWidth="1"/>
    <col min="3844" max="3844" width="3" style="277" customWidth="1"/>
    <col min="3845" max="3845" width="3.28515625" style="277" customWidth="1"/>
    <col min="3846" max="3847" width="2.85546875" style="277" customWidth="1"/>
    <col min="3848" max="3848" width="3" style="277" customWidth="1"/>
    <col min="3849" max="3849" width="2.5703125" style="277" customWidth="1"/>
    <col min="3850" max="3850" width="3" style="277" customWidth="1"/>
    <col min="3851" max="3851" width="2.7109375" style="277" customWidth="1"/>
    <col min="3852" max="3852" width="2.42578125" style="277" customWidth="1"/>
    <col min="3853" max="3853" width="13.85546875" style="277" bestFit="1" customWidth="1"/>
    <col min="3854" max="3854" width="9.140625" style="277"/>
    <col min="3855" max="3855" width="13.42578125" style="277" customWidth="1"/>
    <col min="3856" max="3856" width="19.42578125" style="277" customWidth="1"/>
    <col min="3857" max="3857" width="13.5703125" style="277" customWidth="1"/>
    <col min="3858" max="3858" width="24.5703125" style="277" customWidth="1"/>
    <col min="3859" max="3859" width="11.28515625" style="277" bestFit="1" customWidth="1"/>
    <col min="3860" max="4096" width="9.140625" style="277"/>
    <col min="4097" max="4097" width="64.5703125" style="277" customWidth="1"/>
    <col min="4098" max="4098" width="8.42578125" style="277" customWidth="1"/>
    <col min="4099" max="4099" width="9.7109375" style="277" bestFit="1" customWidth="1"/>
    <col min="4100" max="4100" width="3" style="277" customWidth="1"/>
    <col min="4101" max="4101" width="3.28515625" style="277" customWidth="1"/>
    <col min="4102" max="4103" width="2.85546875" style="277" customWidth="1"/>
    <col min="4104" max="4104" width="3" style="277" customWidth="1"/>
    <col min="4105" max="4105" width="2.5703125" style="277" customWidth="1"/>
    <col min="4106" max="4106" width="3" style="277" customWidth="1"/>
    <col min="4107" max="4107" width="2.7109375" style="277" customWidth="1"/>
    <col min="4108" max="4108" width="2.42578125" style="277" customWidth="1"/>
    <col min="4109" max="4109" width="13.85546875" style="277" bestFit="1" customWidth="1"/>
    <col min="4110" max="4110" width="9.140625" style="277"/>
    <col min="4111" max="4111" width="13.42578125" style="277" customWidth="1"/>
    <col min="4112" max="4112" width="19.42578125" style="277" customWidth="1"/>
    <col min="4113" max="4113" width="13.5703125" style="277" customWidth="1"/>
    <col min="4114" max="4114" width="24.5703125" style="277" customWidth="1"/>
    <col min="4115" max="4115" width="11.28515625" style="277" bestFit="1" customWidth="1"/>
    <col min="4116" max="4352" width="9.140625" style="277"/>
    <col min="4353" max="4353" width="64.5703125" style="277" customWidth="1"/>
    <col min="4354" max="4354" width="8.42578125" style="277" customWidth="1"/>
    <col min="4355" max="4355" width="9.7109375" style="277" bestFit="1" customWidth="1"/>
    <col min="4356" max="4356" width="3" style="277" customWidth="1"/>
    <col min="4357" max="4357" width="3.28515625" style="277" customWidth="1"/>
    <col min="4358" max="4359" width="2.85546875" style="277" customWidth="1"/>
    <col min="4360" max="4360" width="3" style="277" customWidth="1"/>
    <col min="4361" max="4361" width="2.5703125" style="277" customWidth="1"/>
    <col min="4362" max="4362" width="3" style="277" customWidth="1"/>
    <col min="4363" max="4363" width="2.7109375" style="277" customWidth="1"/>
    <col min="4364" max="4364" width="2.42578125" style="277" customWidth="1"/>
    <col min="4365" max="4365" width="13.85546875" style="277" bestFit="1" customWidth="1"/>
    <col min="4366" max="4366" width="9.140625" style="277"/>
    <col min="4367" max="4367" width="13.42578125" style="277" customWidth="1"/>
    <col min="4368" max="4368" width="19.42578125" style="277" customWidth="1"/>
    <col min="4369" max="4369" width="13.5703125" style="277" customWidth="1"/>
    <col min="4370" max="4370" width="24.5703125" style="277" customWidth="1"/>
    <col min="4371" max="4371" width="11.28515625" style="277" bestFit="1" customWidth="1"/>
    <col min="4372" max="4608" width="9.140625" style="277"/>
    <col min="4609" max="4609" width="64.5703125" style="277" customWidth="1"/>
    <col min="4610" max="4610" width="8.42578125" style="277" customWidth="1"/>
    <col min="4611" max="4611" width="9.7109375" style="277" bestFit="1" customWidth="1"/>
    <col min="4612" max="4612" width="3" style="277" customWidth="1"/>
    <col min="4613" max="4613" width="3.28515625" style="277" customWidth="1"/>
    <col min="4614" max="4615" width="2.85546875" style="277" customWidth="1"/>
    <col min="4616" max="4616" width="3" style="277" customWidth="1"/>
    <col min="4617" max="4617" width="2.5703125" style="277" customWidth="1"/>
    <col min="4618" max="4618" width="3" style="277" customWidth="1"/>
    <col min="4619" max="4619" width="2.7109375" style="277" customWidth="1"/>
    <col min="4620" max="4620" width="2.42578125" style="277" customWidth="1"/>
    <col min="4621" max="4621" width="13.85546875" style="277" bestFit="1" customWidth="1"/>
    <col min="4622" max="4622" width="9.140625" style="277"/>
    <col min="4623" max="4623" width="13.42578125" style="277" customWidth="1"/>
    <col min="4624" max="4624" width="19.42578125" style="277" customWidth="1"/>
    <col min="4625" max="4625" width="13.5703125" style="277" customWidth="1"/>
    <col min="4626" max="4626" width="24.5703125" style="277" customWidth="1"/>
    <col min="4627" max="4627" width="11.28515625" style="277" bestFit="1" customWidth="1"/>
    <col min="4628" max="4864" width="9.140625" style="277"/>
    <col min="4865" max="4865" width="64.5703125" style="277" customWidth="1"/>
    <col min="4866" max="4866" width="8.42578125" style="277" customWidth="1"/>
    <col min="4867" max="4867" width="9.7109375" style="277" bestFit="1" customWidth="1"/>
    <col min="4868" max="4868" width="3" style="277" customWidth="1"/>
    <col min="4869" max="4869" width="3.28515625" style="277" customWidth="1"/>
    <col min="4870" max="4871" width="2.85546875" style="277" customWidth="1"/>
    <col min="4872" max="4872" width="3" style="277" customWidth="1"/>
    <col min="4873" max="4873" width="2.5703125" style="277" customWidth="1"/>
    <col min="4874" max="4874" width="3" style="277" customWidth="1"/>
    <col min="4875" max="4875" width="2.7109375" style="277" customWidth="1"/>
    <col min="4876" max="4876" width="2.42578125" style="277" customWidth="1"/>
    <col min="4877" max="4877" width="13.85546875" style="277" bestFit="1" customWidth="1"/>
    <col min="4878" max="4878" width="9.140625" style="277"/>
    <col min="4879" max="4879" width="13.42578125" style="277" customWidth="1"/>
    <col min="4880" max="4880" width="19.42578125" style="277" customWidth="1"/>
    <col min="4881" max="4881" width="13.5703125" style="277" customWidth="1"/>
    <col min="4882" max="4882" width="24.5703125" style="277" customWidth="1"/>
    <col min="4883" max="4883" width="11.28515625" style="277" bestFit="1" customWidth="1"/>
    <col min="4884" max="5120" width="9.140625" style="277"/>
    <col min="5121" max="5121" width="64.5703125" style="277" customWidth="1"/>
    <col min="5122" max="5122" width="8.42578125" style="277" customWidth="1"/>
    <col min="5123" max="5123" width="9.7109375" style="277" bestFit="1" customWidth="1"/>
    <col min="5124" max="5124" width="3" style="277" customWidth="1"/>
    <col min="5125" max="5125" width="3.28515625" style="277" customWidth="1"/>
    <col min="5126" max="5127" width="2.85546875" style="277" customWidth="1"/>
    <col min="5128" max="5128" width="3" style="277" customWidth="1"/>
    <col min="5129" max="5129" width="2.5703125" style="277" customWidth="1"/>
    <col min="5130" max="5130" width="3" style="277" customWidth="1"/>
    <col min="5131" max="5131" width="2.7109375" style="277" customWidth="1"/>
    <col min="5132" max="5132" width="2.42578125" style="277" customWidth="1"/>
    <col min="5133" max="5133" width="13.85546875" style="277" bestFit="1" customWidth="1"/>
    <col min="5134" max="5134" width="9.140625" style="277"/>
    <col min="5135" max="5135" width="13.42578125" style="277" customWidth="1"/>
    <col min="5136" max="5136" width="19.42578125" style="277" customWidth="1"/>
    <col min="5137" max="5137" width="13.5703125" style="277" customWidth="1"/>
    <col min="5138" max="5138" width="24.5703125" style="277" customWidth="1"/>
    <col min="5139" max="5139" width="11.28515625" style="277" bestFit="1" customWidth="1"/>
    <col min="5140" max="5376" width="9.140625" style="277"/>
    <col min="5377" max="5377" width="64.5703125" style="277" customWidth="1"/>
    <col min="5378" max="5378" width="8.42578125" style="277" customWidth="1"/>
    <col min="5379" max="5379" width="9.7109375" style="277" bestFit="1" customWidth="1"/>
    <col min="5380" max="5380" width="3" style="277" customWidth="1"/>
    <col min="5381" max="5381" width="3.28515625" style="277" customWidth="1"/>
    <col min="5382" max="5383" width="2.85546875" style="277" customWidth="1"/>
    <col min="5384" max="5384" width="3" style="277" customWidth="1"/>
    <col min="5385" max="5385" width="2.5703125" style="277" customWidth="1"/>
    <col min="5386" max="5386" width="3" style="277" customWidth="1"/>
    <col min="5387" max="5387" width="2.7109375" style="277" customWidth="1"/>
    <col min="5388" max="5388" width="2.42578125" style="277" customWidth="1"/>
    <col min="5389" max="5389" width="13.85546875" style="277" bestFit="1" customWidth="1"/>
    <col min="5390" max="5390" width="9.140625" style="277"/>
    <col min="5391" max="5391" width="13.42578125" style="277" customWidth="1"/>
    <col min="5392" max="5392" width="19.42578125" style="277" customWidth="1"/>
    <col min="5393" max="5393" width="13.5703125" style="277" customWidth="1"/>
    <col min="5394" max="5394" width="24.5703125" style="277" customWidth="1"/>
    <col min="5395" max="5395" width="11.28515625" style="277" bestFit="1" customWidth="1"/>
    <col min="5396" max="5632" width="9.140625" style="277"/>
    <col min="5633" max="5633" width="64.5703125" style="277" customWidth="1"/>
    <col min="5634" max="5634" width="8.42578125" style="277" customWidth="1"/>
    <col min="5635" max="5635" width="9.7109375" style="277" bestFit="1" customWidth="1"/>
    <col min="5636" max="5636" width="3" style="277" customWidth="1"/>
    <col min="5637" max="5637" width="3.28515625" style="277" customWidth="1"/>
    <col min="5638" max="5639" width="2.85546875" style="277" customWidth="1"/>
    <col min="5640" max="5640" width="3" style="277" customWidth="1"/>
    <col min="5641" max="5641" width="2.5703125" style="277" customWidth="1"/>
    <col min="5642" max="5642" width="3" style="277" customWidth="1"/>
    <col min="5643" max="5643" width="2.7109375" style="277" customWidth="1"/>
    <col min="5644" max="5644" width="2.42578125" style="277" customWidth="1"/>
    <col min="5645" max="5645" width="13.85546875" style="277" bestFit="1" customWidth="1"/>
    <col min="5646" max="5646" width="9.140625" style="277"/>
    <col min="5647" max="5647" width="13.42578125" style="277" customWidth="1"/>
    <col min="5648" max="5648" width="19.42578125" style="277" customWidth="1"/>
    <col min="5649" max="5649" width="13.5703125" style="277" customWidth="1"/>
    <col min="5650" max="5650" width="24.5703125" style="277" customWidth="1"/>
    <col min="5651" max="5651" width="11.28515625" style="277" bestFit="1" customWidth="1"/>
    <col min="5652" max="5888" width="9.140625" style="277"/>
    <col min="5889" max="5889" width="64.5703125" style="277" customWidth="1"/>
    <col min="5890" max="5890" width="8.42578125" style="277" customWidth="1"/>
    <col min="5891" max="5891" width="9.7109375" style="277" bestFit="1" customWidth="1"/>
    <col min="5892" max="5892" width="3" style="277" customWidth="1"/>
    <col min="5893" max="5893" width="3.28515625" style="277" customWidth="1"/>
    <col min="5894" max="5895" width="2.85546875" style="277" customWidth="1"/>
    <col min="5896" max="5896" width="3" style="277" customWidth="1"/>
    <col min="5897" max="5897" width="2.5703125" style="277" customWidth="1"/>
    <col min="5898" max="5898" width="3" style="277" customWidth="1"/>
    <col min="5899" max="5899" width="2.7109375" style="277" customWidth="1"/>
    <col min="5900" max="5900" width="2.42578125" style="277" customWidth="1"/>
    <col min="5901" max="5901" width="13.85546875" style="277" bestFit="1" customWidth="1"/>
    <col min="5902" max="5902" width="9.140625" style="277"/>
    <col min="5903" max="5903" width="13.42578125" style="277" customWidth="1"/>
    <col min="5904" max="5904" width="19.42578125" style="277" customWidth="1"/>
    <col min="5905" max="5905" width="13.5703125" style="277" customWidth="1"/>
    <col min="5906" max="5906" width="24.5703125" style="277" customWidth="1"/>
    <col min="5907" max="5907" width="11.28515625" style="277" bestFit="1" customWidth="1"/>
    <col min="5908" max="6144" width="9.140625" style="277"/>
    <col min="6145" max="6145" width="64.5703125" style="277" customWidth="1"/>
    <col min="6146" max="6146" width="8.42578125" style="277" customWidth="1"/>
    <col min="6147" max="6147" width="9.7109375" style="277" bestFit="1" customWidth="1"/>
    <col min="6148" max="6148" width="3" style="277" customWidth="1"/>
    <col min="6149" max="6149" width="3.28515625" style="277" customWidth="1"/>
    <col min="6150" max="6151" width="2.85546875" style="277" customWidth="1"/>
    <col min="6152" max="6152" width="3" style="277" customWidth="1"/>
    <col min="6153" max="6153" width="2.5703125" style="277" customWidth="1"/>
    <col min="6154" max="6154" width="3" style="277" customWidth="1"/>
    <col min="6155" max="6155" width="2.7109375" style="277" customWidth="1"/>
    <col min="6156" max="6156" width="2.42578125" style="277" customWidth="1"/>
    <col min="6157" max="6157" width="13.85546875" style="277" bestFit="1" customWidth="1"/>
    <col min="6158" max="6158" width="9.140625" style="277"/>
    <col min="6159" max="6159" width="13.42578125" style="277" customWidth="1"/>
    <col min="6160" max="6160" width="19.42578125" style="277" customWidth="1"/>
    <col min="6161" max="6161" width="13.5703125" style="277" customWidth="1"/>
    <col min="6162" max="6162" width="24.5703125" style="277" customWidth="1"/>
    <col min="6163" max="6163" width="11.28515625" style="277" bestFit="1" customWidth="1"/>
    <col min="6164" max="6400" width="9.140625" style="277"/>
    <col min="6401" max="6401" width="64.5703125" style="277" customWidth="1"/>
    <col min="6402" max="6402" width="8.42578125" style="277" customWidth="1"/>
    <col min="6403" max="6403" width="9.7109375" style="277" bestFit="1" customWidth="1"/>
    <col min="6404" max="6404" width="3" style="277" customWidth="1"/>
    <col min="6405" max="6405" width="3.28515625" style="277" customWidth="1"/>
    <col min="6406" max="6407" width="2.85546875" style="277" customWidth="1"/>
    <col min="6408" max="6408" width="3" style="277" customWidth="1"/>
    <col min="6409" max="6409" width="2.5703125" style="277" customWidth="1"/>
    <col min="6410" max="6410" width="3" style="277" customWidth="1"/>
    <col min="6411" max="6411" width="2.7109375" style="277" customWidth="1"/>
    <col min="6412" max="6412" width="2.42578125" style="277" customWidth="1"/>
    <col min="6413" max="6413" width="13.85546875" style="277" bestFit="1" customWidth="1"/>
    <col min="6414" max="6414" width="9.140625" style="277"/>
    <col min="6415" max="6415" width="13.42578125" style="277" customWidth="1"/>
    <col min="6416" max="6416" width="19.42578125" style="277" customWidth="1"/>
    <col min="6417" max="6417" width="13.5703125" style="277" customWidth="1"/>
    <col min="6418" max="6418" width="24.5703125" style="277" customWidth="1"/>
    <col min="6419" max="6419" width="11.28515625" style="277" bestFit="1" customWidth="1"/>
    <col min="6420" max="6656" width="9.140625" style="277"/>
    <col min="6657" max="6657" width="64.5703125" style="277" customWidth="1"/>
    <col min="6658" max="6658" width="8.42578125" style="277" customWidth="1"/>
    <col min="6659" max="6659" width="9.7109375" style="277" bestFit="1" customWidth="1"/>
    <col min="6660" max="6660" width="3" style="277" customWidth="1"/>
    <col min="6661" max="6661" width="3.28515625" style="277" customWidth="1"/>
    <col min="6662" max="6663" width="2.85546875" style="277" customWidth="1"/>
    <col min="6664" max="6664" width="3" style="277" customWidth="1"/>
    <col min="6665" max="6665" width="2.5703125" style="277" customWidth="1"/>
    <col min="6666" max="6666" width="3" style="277" customWidth="1"/>
    <col min="6667" max="6667" width="2.7109375" style="277" customWidth="1"/>
    <col min="6668" max="6668" width="2.42578125" style="277" customWidth="1"/>
    <col min="6669" max="6669" width="13.85546875" style="277" bestFit="1" customWidth="1"/>
    <col min="6670" max="6670" width="9.140625" style="277"/>
    <col min="6671" max="6671" width="13.42578125" style="277" customWidth="1"/>
    <col min="6672" max="6672" width="19.42578125" style="277" customWidth="1"/>
    <col min="6673" max="6673" width="13.5703125" style="277" customWidth="1"/>
    <col min="6674" max="6674" width="24.5703125" style="277" customWidth="1"/>
    <col min="6675" max="6675" width="11.28515625" style="277" bestFit="1" customWidth="1"/>
    <col min="6676" max="6912" width="9.140625" style="277"/>
    <col min="6913" max="6913" width="64.5703125" style="277" customWidth="1"/>
    <col min="6914" max="6914" width="8.42578125" style="277" customWidth="1"/>
    <col min="6915" max="6915" width="9.7109375" style="277" bestFit="1" customWidth="1"/>
    <col min="6916" max="6916" width="3" style="277" customWidth="1"/>
    <col min="6917" max="6917" width="3.28515625" style="277" customWidth="1"/>
    <col min="6918" max="6919" width="2.85546875" style="277" customWidth="1"/>
    <col min="6920" max="6920" width="3" style="277" customWidth="1"/>
    <col min="6921" max="6921" width="2.5703125" style="277" customWidth="1"/>
    <col min="6922" max="6922" width="3" style="277" customWidth="1"/>
    <col min="6923" max="6923" width="2.7109375" style="277" customWidth="1"/>
    <col min="6924" max="6924" width="2.42578125" style="277" customWidth="1"/>
    <col min="6925" max="6925" width="13.85546875" style="277" bestFit="1" customWidth="1"/>
    <col min="6926" max="6926" width="9.140625" style="277"/>
    <col min="6927" max="6927" width="13.42578125" style="277" customWidth="1"/>
    <col min="6928" max="6928" width="19.42578125" style="277" customWidth="1"/>
    <col min="6929" max="6929" width="13.5703125" style="277" customWidth="1"/>
    <col min="6930" max="6930" width="24.5703125" style="277" customWidth="1"/>
    <col min="6931" max="6931" width="11.28515625" style="277" bestFit="1" customWidth="1"/>
    <col min="6932" max="7168" width="9.140625" style="277"/>
    <col min="7169" max="7169" width="64.5703125" style="277" customWidth="1"/>
    <col min="7170" max="7170" width="8.42578125" style="277" customWidth="1"/>
    <col min="7171" max="7171" width="9.7109375" style="277" bestFit="1" customWidth="1"/>
    <col min="7172" max="7172" width="3" style="277" customWidth="1"/>
    <col min="7173" max="7173" width="3.28515625" style="277" customWidth="1"/>
    <col min="7174" max="7175" width="2.85546875" style="277" customWidth="1"/>
    <col min="7176" max="7176" width="3" style="277" customWidth="1"/>
    <col min="7177" max="7177" width="2.5703125" style="277" customWidth="1"/>
    <col min="7178" max="7178" width="3" style="277" customWidth="1"/>
    <col min="7179" max="7179" width="2.7109375" style="277" customWidth="1"/>
    <col min="7180" max="7180" width="2.42578125" style="277" customWidth="1"/>
    <col min="7181" max="7181" width="13.85546875" style="277" bestFit="1" customWidth="1"/>
    <col min="7182" max="7182" width="9.140625" style="277"/>
    <col min="7183" max="7183" width="13.42578125" style="277" customWidth="1"/>
    <col min="7184" max="7184" width="19.42578125" style="277" customWidth="1"/>
    <col min="7185" max="7185" width="13.5703125" style="277" customWidth="1"/>
    <col min="7186" max="7186" width="24.5703125" style="277" customWidth="1"/>
    <col min="7187" max="7187" width="11.28515625" style="277" bestFit="1" customWidth="1"/>
    <col min="7188" max="7424" width="9.140625" style="277"/>
    <col min="7425" max="7425" width="64.5703125" style="277" customWidth="1"/>
    <col min="7426" max="7426" width="8.42578125" style="277" customWidth="1"/>
    <col min="7427" max="7427" width="9.7109375" style="277" bestFit="1" customWidth="1"/>
    <col min="7428" max="7428" width="3" style="277" customWidth="1"/>
    <col min="7429" max="7429" width="3.28515625" style="277" customWidth="1"/>
    <col min="7430" max="7431" width="2.85546875" style="277" customWidth="1"/>
    <col min="7432" max="7432" width="3" style="277" customWidth="1"/>
    <col min="7433" max="7433" width="2.5703125" style="277" customWidth="1"/>
    <col min="7434" max="7434" width="3" style="277" customWidth="1"/>
    <col min="7435" max="7435" width="2.7109375" style="277" customWidth="1"/>
    <col min="7436" max="7436" width="2.42578125" style="277" customWidth="1"/>
    <col min="7437" max="7437" width="13.85546875" style="277" bestFit="1" customWidth="1"/>
    <col min="7438" max="7438" width="9.140625" style="277"/>
    <col min="7439" max="7439" width="13.42578125" style="277" customWidth="1"/>
    <col min="7440" max="7440" width="19.42578125" style="277" customWidth="1"/>
    <col min="7441" max="7441" width="13.5703125" style="277" customWidth="1"/>
    <col min="7442" max="7442" width="24.5703125" style="277" customWidth="1"/>
    <col min="7443" max="7443" width="11.28515625" style="277" bestFit="1" customWidth="1"/>
    <col min="7444" max="7680" width="9.140625" style="277"/>
    <col min="7681" max="7681" width="64.5703125" style="277" customWidth="1"/>
    <col min="7682" max="7682" width="8.42578125" style="277" customWidth="1"/>
    <col min="7683" max="7683" width="9.7109375" style="277" bestFit="1" customWidth="1"/>
    <col min="7684" max="7684" width="3" style="277" customWidth="1"/>
    <col min="7685" max="7685" width="3.28515625" style="277" customWidth="1"/>
    <col min="7686" max="7687" width="2.85546875" style="277" customWidth="1"/>
    <col min="7688" max="7688" width="3" style="277" customWidth="1"/>
    <col min="7689" max="7689" width="2.5703125" style="277" customWidth="1"/>
    <col min="7690" max="7690" width="3" style="277" customWidth="1"/>
    <col min="7691" max="7691" width="2.7109375" style="277" customWidth="1"/>
    <col min="7692" max="7692" width="2.42578125" style="277" customWidth="1"/>
    <col min="7693" max="7693" width="13.85546875" style="277" bestFit="1" customWidth="1"/>
    <col min="7694" max="7694" width="9.140625" style="277"/>
    <col min="7695" max="7695" width="13.42578125" style="277" customWidth="1"/>
    <col min="7696" max="7696" width="19.42578125" style="277" customWidth="1"/>
    <col min="7697" max="7697" width="13.5703125" style="277" customWidth="1"/>
    <col min="7698" max="7698" width="24.5703125" style="277" customWidth="1"/>
    <col min="7699" max="7699" width="11.28515625" style="277" bestFit="1" customWidth="1"/>
    <col min="7700" max="7936" width="9.140625" style="277"/>
    <col min="7937" max="7937" width="64.5703125" style="277" customWidth="1"/>
    <col min="7938" max="7938" width="8.42578125" style="277" customWidth="1"/>
    <col min="7939" max="7939" width="9.7109375" style="277" bestFit="1" customWidth="1"/>
    <col min="7940" max="7940" width="3" style="277" customWidth="1"/>
    <col min="7941" max="7941" width="3.28515625" style="277" customWidth="1"/>
    <col min="7942" max="7943" width="2.85546875" style="277" customWidth="1"/>
    <col min="7944" max="7944" width="3" style="277" customWidth="1"/>
    <col min="7945" max="7945" width="2.5703125" style="277" customWidth="1"/>
    <col min="7946" max="7946" width="3" style="277" customWidth="1"/>
    <col min="7947" max="7947" width="2.7109375" style="277" customWidth="1"/>
    <col min="7948" max="7948" width="2.42578125" style="277" customWidth="1"/>
    <col min="7949" max="7949" width="13.85546875" style="277" bestFit="1" customWidth="1"/>
    <col min="7950" max="7950" width="9.140625" style="277"/>
    <col min="7951" max="7951" width="13.42578125" style="277" customWidth="1"/>
    <col min="7952" max="7952" width="19.42578125" style="277" customWidth="1"/>
    <col min="7953" max="7953" width="13.5703125" style="277" customWidth="1"/>
    <col min="7954" max="7954" width="24.5703125" style="277" customWidth="1"/>
    <col min="7955" max="7955" width="11.28515625" style="277" bestFit="1" customWidth="1"/>
    <col min="7956" max="8192" width="9.140625" style="277"/>
    <col min="8193" max="8193" width="64.5703125" style="277" customWidth="1"/>
    <col min="8194" max="8194" width="8.42578125" style="277" customWidth="1"/>
    <col min="8195" max="8195" width="9.7109375" style="277" bestFit="1" customWidth="1"/>
    <col min="8196" max="8196" width="3" style="277" customWidth="1"/>
    <col min="8197" max="8197" width="3.28515625" style="277" customWidth="1"/>
    <col min="8198" max="8199" width="2.85546875" style="277" customWidth="1"/>
    <col min="8200" max="8200" width="3" style="277" customWidth="1"/>
    <col min="8201" max="8201" width="2.5703125" style="277" customWidth="1"/>
    <col min="8202" max="8202" width="3" style="277" customWidth="1"/>
    <col min="8203" max="8203" width="2.7109375" style="277" customWidth="1"/>
    <col min="8204" max="8204" width="2.42578125" style="277" customWidth="1"/>
    <col min="8205" max="8205" width="13.85546875" style="277" bestFit="1" customWidth="1"/>
    <col min="8206" max="8206" width="9.140625" style="277"/>
    <col min="8207" max="8207" width="13.42578125" style="277" customWidth="1"/>
    <col min="8208" max="8208" width="19.42578125" style="277" customWidth="1"/>
    <col min="8209" max="8209" width="13.5703125" style="277" customWidth="1"/>
    <col min="8210" max="8210" width="24.5703125" style="277" customWidth="1"/>
    <col min="8211" max="8211" width="11.28515625" style="277" bestFit="1" customWidth="1"/>
    <col min="8212" max="8448" width="9.140625" style="277"/>
    <col min="8449" max="8449" width="64.5703125" style="277" customWidth="1"/>
    <col min="8450" max="8450" width="8.42578125" style="277" customWidth="1"/>
    <col min="8451" max="8451" width="9.7109375" style="277" bestFit="1" customWidth="1"/>
    <col min="8452" max="8452" width="3" style="277" customWidth="1"/>
    <col min="8453" max="8453" width="3.28515625" style="277" customWidth="1"/>
    <col min="8454" max="8455" width="2.85546875" style="277" customWidth="1"/>
    <col min="8456" max="8456" width="3" style="277" customWidth="1"/>
    <col min="8457" max="8457" width="2.5703125" style="277" customWidth="1"/>
    <col min="8458" max="8458" width="3" style="277" customWidth="1"/>
    <col min="8459" max="8459" width="2.7109375" style="277" customWidth="1"/>
    <col min="8460" max="8460" width="2.42578125" style="277" customWidth="1"/>
    <col min="8461" max="8461" width="13.85546875" style="277" bestFit="1" customWidth="1"/>
    <col min="8462" max="8462" width="9.140625" style="277"/>
    <col min="8463" max="8463" width="13.42578125" style="277" customWidth="1"/>
    <col min="8464" max="8464" width="19.42578125" style="277" customWidth="1"/>
    <col min="8465" max="8465" width="13.5703125" style="277" customWidth="1"/>
    <col min="8466" max="8466" width="24.5703125" style="277" customWidth="1"/>
    <col min="8467" max="8467" width="11.28515625" style="277" bestFit="1" customWidth="1"/>
    <col min="8468" max="8704" width="9.140625" style="277"/>
    <col min="8705" max="8705" width="64.5703125" style="277" customWidth="1"/>
    <col min="8706" max="8706" width="8.42578125" style="277" customWidth="1"/>
    <col min="8707" max="8707" width="9.7109375" style="277" bestFit="1" customWidth="1"/>
    <col min="8708" max="8708" width="3" style="277" customWidth="1"/>
    <col min="8709" max="8709" width="3.28515625" style="277" customWidth="1"/>
    <col min="8710" max="8711" width="2.85546875" style="277" customWidth="1"/>
    <col min="8712" max="8712" width="3" style="277" customWidth="1"/>
    <col min="8713" max="8713" width="2.5703125" style="277" customWidth="1"/>
    <col min="8714" max="8714" width="3" style="277" customWidth="1"/>
    <col min="8715" max="8715" width="2.7109375" style="277" customWidth="1"/>
    <col min="8716" max="8716" width="2.42578125" style="277" customWidth="1"/>
    <col min="8717" max="8717" width="13.85546875" style="277" bestFit="1" customWidth="1"/>
    <col min="8718" max="8718" width="9.140625" style="277"/>
    <col min="8719" max="8719" width="13.42578125" style="277" customWidth="1"/>
    <col min="8720" max="8720" width="19.42578125" style="277" customWidth="1"/>
    <col min="8721" max="8721" width="13.5703125" style="277" customWidth="1"/>
    <col min="8722" max="8722" width="24.5703125" style="277" customWidth="1"/>
    <col min="8723" max="8723" width="11.28515625" style="277" bestFit="1" customWidth="1"/>
    <col min="8724" max="8960" width="9.140625" style="277"/>
    <col min="8961" max="8961" width="64.5703125" style="277" customWidth="1"/>
    <col min="8962" max="8962" width="8.42578125" style="277" customWidth="1"/>
    <col min="8963" max="8963" width="9.7109375" style="277" bestFit="1" customWidth="1"/>
    <col min="8964" max="8964" width="3" style="277" customWidth="1"/>
    <col min="8965" max="8965" width="3.28515625" style="277" customWidth="1"/>
    <col min="8966" max="8967" width="2.85546875" style="277" customWidth="1"/>
    <col min="8968" max="8968" width="3" style="277" customWidth="1"/>
    <col min="8969" max="8969" width="2.5703125" style="277" customWidth="1"/>
    <col min="8970" max="8970" width="3" style="277" customWidth="1"/>
    <col min="8971" max="8971" width="2.7109375" style="277" customWidth="1"/>
    <col min="8972" max="8972" width="2.42578125" style="277" customWidth="1"/>
    <col min="8973" max="8973" width="13.85546875" style="277" bestFit="1" customWidth="1"/>
    <col min="8974" max="8974" width="9.140625" style="277"/>
    <col min="8975" max="8975" width="13.42578125" style="277" customWidth="1"/>
    <col min="8976" max="8976" width="19.42578125" style="277" customWidth="1"/>
    <col min="8977" max="8977" width="13.5703125" style="277" customWidth="1"/>
    <col min="8978" max="8978" width="24.5703125" style="277" customWidth="1"/>
    <col min="8979" max="8979" width="11.28515625" style="277" bestFit="1" customWidth="1"/>
    <col min="8980" max="9216" width="9.140625" style="277"/>
    <col min="9217" max="9217" width="64.5703125" style="277" customWidth="1"/>
    <col min="9218" max="9218" width="8.42578125" style="277" customWidth="1"/>
    <col min="9219" max="9219" width="9.7109375" style="277" bestFit="1" customWidth="1"/>
    <col min="9220" max="9220" width="3" style="277" customWidth="1"/>
    <col min="9221" max="9221" width="3.28515625" style="277" customWidth="1"/>
    <col min="9222" max="9223" width="2.85546875" style="277" customWidth="1"/>
    <col min="9224" max="9224" width="3" style="277" customWidth="1"/>
    <col min="9225" max="9225" width="2.5703125" style="277" customWidth="1"/>
    <col min="9226" max="9226" width="3" style="277" customWidth="1"/>
    <col min="9227" max="9227" width="2.7109375" style="277" customWidth="1"/>
    <col min="9228" max="9228" width="2.42578125" style="277" customWidth="1"/>
    <col min="9229" max="9229" width="13.85546875" style="277" bestFit="1" customWidth="1"/>
    <col min="9230" max="9230" width="9.140625" style="277"/>
    <col min="9231" max="9231" width="13.42578125" style="277" customWidth="1"/>
    <col min="9232" max="9232" width="19.42578125" style="277" customWidth="1"/>
    <col min="9233" max="9233" width="13.5703125" style="277" customWidth="1"/>
    <col min="9234" max="9234" width="24.5703125" style="277" customWidth="1"/>
    <col min="9235" max="9235" width="11.28515625" style="277" bestFit="1" customWidth="1"/>
    <col min="9236" max="9472" width="9.140625" style="277"/>
    <col min="9473" max="9473" width="64.5703125" style="277" customWidth="1"/>
    <col min="9474" max="9474" width="8.42578125" style="277" customWidth="1"/>
    <col min="9475" max="9475" width="9.7109375" style="277" bestFit="1" customWidth="1"/>
    <col min="9476" max="9476" width="3" style="277" customWidth="1"/>
    <col min="9477" max="9477" width="3.28515625" style="277" customWidth="1"/>
    <col min="9478" max="9479" width="2.85546875" style="277" customWidth="1"/>
    <col min="9480" max="9480" width="3" style="277" customWidth="1"/>
    <col min="9481" max="9481" width="2.5703125" style="277" customWidth="1"/>
    <col min="9482" max="9482" width="3" style="277" customWidth="1"/>
    <col min="9483" max="9483" width="2.7109375" style="277" customWidth="1"/>
    <col min="9484" max="9484" width="2.42578125" style="277" customWidth="1"/>
    <col min="9485" max="9485" width="13.85546875" style="277" bestFit="1" customWidth="1"/>
    <col min="9486" max="9486" width="9.140625" style="277"/>
    <col min="9487" max="9487" width="13.42578125" style="277" customWidth="1"/>
    <col min="9488" max="9488" width="19.42578125" style="277" customWidth="1"/>
    <col min="9489" max="9489" width="13.5703125" style="277" customWidth="1"/>
    <col min="9490" max="9490" width="24.5703125" style="277" customWidth="1"/>
    <col min="9491" max="9491" width="11.28515625" style="277" bestFit="1" customWidth="1"/>
    <col min="9492" max="9728" width="9.140625" style="277"/>
    <col min="9729" max="9729" width="64.5703125" style="277" customWidth="1"/>
    <col min="9730" max="9730" width="8.42578125" style="277" customWidth="1"/>
    <col min="9731" max="9731" width="9.7109375" style="277" bestFit="1" customWidth="1"/>
    <col min="9732" max="9732" width="3" style="277" customWidth="1"/>
    <col min="9733" max="9733" width="3.28515625" style="277" customWidth="1"/>
    <col min="9734" max="9735" width="2.85546875" style="277" customWidth="1"/>
    <col min="9736" max="9736" width="3" style="277" customWidth="1"/>
    <col min="9737" max="9737" width="2.5703125" style="277" customWidth="1"/>
    <col min="9738" max="9738" width="3" style="277" customWidth="1"/>
    <col min="9739" max="9739" width="2.7109375" style="277" customWidth="1"/>
    <col min="9740" max="9740" width="2.42578125" style="277" customWidth="1"/>
    <col min="9741" max="9741" width="13.85546875" style="277" bestFit="1" customWidth="1"/>
    <col min="9742" max="9742" width="9.140625" style="277"/>
    <col min="9743" max="9743" width="13.42578125" style="277" customWidth="1"/>
    <col min="9744" max="9744" width="19.42578125" style="277" customWidth="1"/>
    <col min="9745" max="9745" width="13.5703125" style="277" customWidth="1"/>
    <col min="9746" max="9746" width="24.5703125" style="277" customWidth="1"/>
    <col min="9747" max="9747" width="11.28515625" style="277" bestFit="1" customWidth="1"/>
    <col min="9748" max="9984" width="9.140625" style="277"/>
    <col min="9985" max="9985" width="64.5703125" style="277" customWidth="1"/>
    <col min="9986" max="9986" width="8.42578125" style="277" customWidth="1"/>
    <col min="9987" max="9987" width="9.7109375" style="277" bestFit="1" customWidth="1"/>
    <col min="9988" max="9988" width="3" style="277" customWidth="1"/>
    <col min="9989" max="9989" width="3.28515625" style="277" customWidth="1"/>
    <col min="9990" max="9991" width="2.85546875" style="277" customWidth="1"/>
    <col min="9992" max="9992" width="3" style="277" customWidth="1"/>
    <col min="9993" max="9993" width="2.5703125" style="277" customWidth="1"/>
    <col min="9994" max="9994" width="3" style="277" customWidth="1"/>
    <col min="9995" max="9995" width="2.7109375" style="277" customWidth="1"/>
    <col min="9996" max="9996" width="2.42578125" style="277" customWidth="1"/>
    <col min="9997" max="9997" width="13.85546875" style="277" bestFit="1" customWidth="1"/>
    <col min="9998" max="9998" width="9.140625" style="277"/>
    <col min="9999" max="9999" width="13.42578125" style="277" customWidth="1"/>
    <col min="10000" max="10000" width="19.42578125" style="277" customWidth="1"/>
    <col min="10001" max="10001" width="13.5703125" style="277" customWidth="1"/>
    <col min="10002" max="10002" width="24.5703125" style="277" customWidth="1"/>
    <col min="10003" max="10003" width="11.28515625" style="277" bestFit="1" customWidth="1"/>
    <col min="10004" max="10240" width="9.140625" style="277"/>
    <col min="10241" max="10241" width="64.5703125" style="277" customWidth="1"/>
    <col min="10242" max="10242" width="8.42578125" style="277" customWidth="1"/>
    <col min="10243" max="10243" width="9.7109375" style="277" bestFit="1" customWidth="1"/>
    <col min="10244" max="10244" width="3" style="277" customWidth="1"/>
    <col min="10245" max="10245" width="3.28515625" style="277" customWidth="1"/>
    <col min="10246" max="10247" width="2.85546875" style="277" customWidth="1"/>
    <col min="10248" max="10248" width="3" style="277" customWidth="1"/>
    <col min="10249" max="10249" width="2.5703125" style="277" customWidth="1"/>
    <col min="10250" max="10250" width="3" style="277" customWidth="1"/>
    <col min="10251" max="10251" width="2.7109375" style="277" customWidth="1"/>
    <col min="10252" max="10252" width="2.42578125" style="277" customWidth="1"/>
    <col min="10253" max="10253" width="13.85546875" style="277" bestFit="1" customWidth="1"/>
    <col min="10254" max="10254" width="9.140625" style="277"/>
    <col min="10255" max="10255" width="13.42578125" style="277" customWidth="1"/>
    <col min="10256" max="10256" width="19.42578125" style="277" customWidth="1"/>
    <col min="10257" max="10257" width="13.5703125" style="277" customWidth="1"/>
    <col min="10258" max="10258" width="24.5703125" style="277" customWidth="1"/>
    <col min="10259" max="10259" width="11.28515625" style="277" bestFit="1" customWidth="1"/>
    <col min="10260" max="10496" width="9.140625" style="277"/>
    <col min="10497" max="10497" width="64.5703125" style="277" customWidth="1"/>
    <col min="10498" max="10498" width="8.42578125" style="277" customWidth="1"/>
    <col min="10499" max="10499" width="9.7109375" style="277" bestFit="1" customWidth="1"/>
    <col min="10500" max="10500" width="3" style="277" customWidth="1"/>
    <col min="10501" max="10501" width="3.28515625" style="277" customWidth="1"/>
    <col min="10502" max="10503" width="2.85546875" style="277" customWidth="1"/>
    <col min="10504" max="10504" width="3" style="277" customWidth="1"/>
    <col min="10505" max="10505" width="2.5703125" style="277" customWidth="1"/>
    <col min="10506" max="10506" width="3" style="277" customWidth="1"/>
    <col min="10507" max="10507" width="2.7109375" style="277" customWidth="1"/>
    <col min="10508" max="10508" width="2.42578125" style="277" customWidth="1"/>
    <col min="10509" max="10509" width="13.85546875" style="277" bestFit="1" customWidth="1"/>
    <col min="10510" max="10510" width="9.140625" style="277"/>
    <col min="10511" max="10511" width="13.42578125" style="277" customWidth="1"/>
    <col min="10512" max="10512" width="19.42578125" style="277" customWidth="1"/>
    <col min="10513" max="10513" width="13.5703125" style="277" customWidth="1"/>
    <col min="10514" max="10514" width="24.5703125" style="277" customWidth="1"/>
    <col min="10515" max="10515" width="11.28515625" style="277" bestFit="1" customWidth="1"/>
    <col min="10516" max="10752" width="9.140625" style="277"/>
    <col min="10753" max="10753" width="64.5703125" style="277" customWidth="1"/>
    <col min="10754" max="10754" width="8.42578125" style="277" customWidth="1"/>
    <col min="10755" max="10755" width="9.7109375" style="277" bestFit="1" customWidth="1"/>
    <col min="10756" max="10756" width="3" style="277" customWidth="1"/>
    <col min="10757" max="10757" width="3.28515625" style="277" customWidth="1"/>
    <col min="10758" max="10759" width="2.85546875" style="277" customWidth="1"/>
    <col min="10760" max="10760" width="3" style="277" customWidth="1"/>
    <col min="10761" max="10761" width="2.5703125" style="277" customWidth="1"/>
    <col min="10762" max="10762" width="3" style="277" customWidth="1"/>
    <col min="10763" max="10763" width="2.7109375" style="277" customWidth="1"/>
    <col min="10764" max="10764" width="2.42578125" style="277" customWidth="1"/>
    <col min="10765" max="10765" width="13.85546875" style="277" bestFit="1" customWidth="1"/>
    <col min="10766" max="10766" width="9.140625" style="277"/>
    <col min="10767" max="10767" width="13.42578125" style="277" customWidth="1"/>
    <col min="10768" max="10768" width="19.42578125" style="277" customWidth="1"/>
    <col min="10769" max="10769" width="13.5703125" style="277" customWidth="1"/>
    <col min="10770" max="10770" width="24.5703125" style="277" customWidth="1"/>
    <col min="10771" max="10771" width="11.28515625" style="277" bestFit="1" customWidth="1"/>
    <col min="10772" max="11008" width="9.140625" style="277"/>
    <col min="11009" max="11009" width="64.5703125" style="277" customWidth="1"/>
    <col min="11010" max="11010" width="8.42578125" style="277" customWidth="1"/>
    <col min="11011" max="11011" width="9.7109375" style="277" bestFit="1" customWidth="1"/>
    <col min="11012" max="11012" width="3" style="277" customWidth="1"/>
    <col min="11013" max="11013" width="3.28515625" style="277" customWidth="1"/>
    <col min="11014" max="11015" width="2.85546875" style="277" customWidth="1"/>
    <col min="11016" max="11016" width="3" style="277" customWidth="1"/>
    <col min="11017" max="11017" width="2.5703125" style="277" customWidth="1"/>
    <col min="11018" max="11018" width="3" style="277" customWidth="1"/>
    <col min="11019" max="11019" width="2.7109375" style="277" customWidth="1"/>
    <col min="11020" max="11020" width="2.42578125" style="277" customWidth="1"/>
    <col min="11021" max="11021" width="13.85546875" style="277" bestFit="1" customWidth="1"/>
    <col min="11022" max="11022" width="9.140625" style="277"/>
    <col min="11023" max="11023" width="13.42578125" style="277" customWidth="1"/>
    <col min="11024" max="11024" width="19.42578125" style="277" customWidth="1"/>
    <col min="11025" max="11025" width="13.5703125" style="277" customWidth="1"/>
    <col min="11026" max="11026" width="24.5703125" style="277" customWidth="1"/>
    <col min="11027" max="11027" width="11.28515625" style="277" bestFit="1" customWidth="1"/>
    <col min="11028" max="11264" width="9.140625" style="277"/>
    <col min="11265" max="11265" width="64.5703125" style="277" customWidth="1"/>
    <col min="11266" max="11266" width="8.42578125" style="277" customWidth="1"/>
    <col min="11267" max="11267" width="9.7109375" style="277" bestFit="1" customWidth="1"/>
    <col min="11268" max="11268" width="3" style="277" customWidth="1"/>
    <col min="11269" max="11269" width="3.28515625" style="277" customWidth="1"/>
    <col min="11270" max="11271" width="2.85546875" style="277" customWidth="1"/>
    <col min="11272" max="11272" width="3" style="277" customWidth="1"/>
    <col min="11273" max="11273" width="2.5703125" style="277" customWidth="1"/>
    <col min="11274" max="11274" width="3" style="277" customWidth="1"/>
    <col min="11275" max="11275" width="2.7109375" style="277" customWidth="1"/>
    <col min="11276" max="11276" width="2.42578125" style="277" customWidth="1"/>
    <col min="11277" max="11277" width="13.85546875" style="277" bestFit="1" customWidth="1"/>
    <col min="11278" max="11278" width="9.140625" style="277"/>
    <col min="11279" max="11279" width="13.42578125" style="277" customWidth="1"/>
    <col min="11280" max="11280" width="19.42578125" style="277" customWidth="1"/>
    <col min="11281" max="11281" width="13.5703125" style="277" customWidth="1"/>
    <col min="11282" max="11282" width="24.5703125" style="277" customWidth="1"/>
    <col min="11283" max="11283" width="11.28515625" style="277" bestFit="1" customWidth="1"/>
    <col min="11284" max="11520" width="9.140625" style="277"/>
    <col min="11521" max="11521" width="64.5703125" style="277" customWidth="1"/>
    <col min="11522" max="11522" width="8.42578125" style="277" customWidth="1"/>
    <col min="11523" max="11523" width="9.7109375" style="277" bestFit="1" customWidth="1"/>
    <col min="11524" max="11524" width="3" style="277" customWidth="1"/>
    <col min="11525" max="11525" width="3.28515625" style="277" customWidth="1"/>
    <col min="11526" max="11527" width="2.85546875" style="277" customWidth="1"/>
    <col min="11528" max="11528" width="3" style="277" customWidth="1"/>
    <col min="11529" max="11529" width="2.5703125" style="277" customWidth="1"/>
    <col min="11530" max="11530" width="3" style="277" customWidth="1"/>
    <col min="11531" max="11531" width="2.7109375" style="277" customWidth="1"/>
    <col min="11532" max="11532" width="2.42578125" style="277" customWidth="1"/>
    <col min="11533" max="11533" width="13.85546875" style="277" bestFit="1" customWidth="1"/>
    <col min="11534" max="11534" width="9.140625" style="277"/>
    <col min="11535" max="11535" width="13.42578125" style="277" customWidth="1"/>
    <col min="11536" max="11536" width="19.42578125" style="277" customWidth="1"/>
    <col min="11537" max="11537" width="13.5703125" style="277" customWidth="1"/>
    <col min="11538" max="11538" width="24.5703125" style="277" customWidth="1"/>
    <col min="11539" max="11539" width="11.28515625" style="277" bestFit="1" customWidth="1"/>
    <col min="11540" max="11776" width="9.140625" style="277"/>
    <col min="11777" max="11777" width="64.5703125" style="277" customWidth="1"/>
    <col min="11778" max="11778" width="8.42578125" style="277" customWidth="1"/>
    <col min="11779" max="11779" width="9.7109375" style="277" bestFit="1" customWidth="1"/>
    <col min="11780" max="11780" width="3" style="277" customWidth="1"/>
    <col min="11781" max="11781" width="3.28515625" style="277" customWidth="1"/>
    <col min="11782" max="11783" width="2.85546875" style="277" customWidth="1"/>
    <col min="11784" max="11784" width="3" style="277" customWidth="1"/>
    <col min="11785" max="11785" width="2.5703125" style="277" customWidth="1"/>
    <col min="11786" max="11786" width="3" style="277" customWidth="1"/>
    <col min="11787" max="11787" width="2.7109375" style="277" customWidth="1"/>
    <col min="11788" max="11788" width="2.42578125" style="277" customWidth="1"/>
    <col min="11789" max="11789" width="13.85546875" style="277" bestFit="1" customWidth="1"/>
    <col min="11790" max="11790" width="9.140625" style="277"/>
    <col min="11791" max="11791" width="13.42578125" style="277" customWidth="1"/>
    <col min="11792" max="11792" width="19.42578125" style="277" customWidth="1"/>
    <col min="11793" max="11793" width="13.5703125" style="277" customWidth="1"/>
    <col min="11794" max="11794" width="24.5703125" style="277" customWidth="1"/>
    <col min="11795" max="11795" width="11.28515625" style="277" bestFit="1" customWidth="1"/>
    <col min="11796" max="12032" width="9.140625" style="277"/>
    <col min="12033" max="12033" width="64.5703125" style="277" customWidth="1"/>
    <col min="12034" max="12034" width="8.42578125" style="277" customWidth="1"/>
    <col min="12035" max="12035" width="9.7109375" style="277" bestFit="1" customWidth="1"/>
    <col min="12036" max="12036" width="3" style="277" customWidth="1"/>
    <col min="12037" max="12037" width="3.28515625" style="277" customWidth="1"/>
    <col min="12038" max="12039" width="2.85546875" style="277" customWidth="1"/>
    <col min="12040" max="12040" width="3" style="277" customWidth="1"/>
    <col min="12041" max="12041" width="2.5703125" style="277" customWidth="1"/>
    <col min="12042" max="12042" width="3" style="277" customWidth="1"/>
    <col min="12043" max="12043" width="2.7109375" style="277" customWidth="1"/>
    <col min="12044" max="12044" width="2.42578125" style="277" customWidth="1"/>
    <col min="12045" max="12045" width="13.85546875" style="277" bestFit="1" customWidth="1"/>
    <col min="12046" max="12046" width="9.140625" style="277"/>
    <col min="12047" max="12047" width="13.42578125" style="277" customWidth="1"/>
    <col min="12048" max="12048" width="19.42578125" style="277" customWidth="1"/>
    <col min="12049" max="12049" width="13.5703125" style="277" customWidth="1"/>
    <col min="12050" max="12050" width="24.5703125" style="277" customWidth="1"/>
    <col min="12051" max="12051" width="11.28515625" style="277" bestFit="1" customWidth="1"/>
    <col min="12052" max="12288" width="9.140625" style="277"/>
    <col min="12289" max="12289" width="64.5703125" style="277" customWidth="1"/>
    <col min="12290" max="12290" width="8.42578125" style="277" customWidth="1"/>
    <col min="12291" max="12291" width="9.7109375" style="277" bestFit="1" customWidth="1"/>
    <col min="12292" max="12292" width="3" style="277" customWidth="1"/>
    <col min="12293" max="12293" width="3.28515625" style="277" customWidth="1"/>
    <col min="12294" max="12295" width="2.85546875" style="277" customWidth="1"/>
    <col min="12296" max="12296" width="3" style="277" customWidth="1"/>
    <col min="12297" max="12297" width="2.5703125" style="277" customWidth="1"/>
    <col min="12298" max="12298" width="3" style="277" customWidth="1"/>
    <col min="12299" max="12299" width="2.7109375" style="277" customWidth="1"/>
    <col min="12300" max="12300" width="2.42578125" style="277" customWidth="1"/>
    <col min="12301" max="12301" width="13.85546875" style="277" bestFit="1" customWidth="1"/>
    <col min="12302" max="12302" width="9.140625" style="277"/>
    <col min="12303" max="12303" width="13.42578125" style="277" customWidth="1"/>
    <col min="12304" max="12304" width="19.42578125" style="277" customWidth="1"/>
    <col min="12305" max="12305" width="13.5703125" style="277" customWidth="1"/>
    <col min="12306" max="12306" width="24.5703125" style="277" customWidth="1"/>
    <col min="12307" max="12307" width="11.28515625" style="277" bestFit="1" customWidth="1"/>
    <col min="12308" max="12544" width="9.140625" style="277"/>
    <col min="12545" max="12545" width="64.5703125" style="277" customWidth="1"/>
    <col min="12546" max="12546" width="8.42578125" style="277" customWidth="1"/>
    <col min="12547" max="12547" width="9.7109375" style="277" bestFit="1" customWidth="1"/>
    <col min="12548" max="12548" width="3" style="277" customWidth="1"/>
    <col min="12549" max="12549" width="3.28515625" style="277" customWidth="1"/>
    <col min="12550" max="12551" width="2.85546875" style="277" customWidth="1"/>
    <col min="12552" max="12552" width="3" style="277" customWidth="1"/>
    <col min="12553" max="12553" width="2.5703125" style="277" customWidth="1"/>
    <col min="12554" max="12554" width="3" style="277" customWidth="1"/>
    <col min="12555" max="12555" width="2.7109375" style="277" customWidth="1"/>
    <col min="12556" max="12556" width="2.42578125" style="277" customWidth="1"/>
    <col min="12557" max="12557" width="13.85546875" style="277" bestFit="1" customWidth="1"/>
    <col min="12558" max="12558" width="9.140625" style="277"/>
    <col min="12559" max="12559" width="13.42578125" style="277" customWidth="1"/>
    <col min="12560" max="12560" width="19.42578125" style="277" customWidth="1"/>
    <col min="12561" max="12561" width="13.5703125" style="277" customWidth="1"/>
    <col min="12562" max="12562" width="24.5703125" style="277" customWidth="1"/>
    <col min="12563" max="12563" width="11.28515625" style="277" bestFit="1" customWidth="1"/>
    <col min="12564" max="12800" width="9.140625" style="277"/>
    <col min="12801" max="12801" width="64.5703125" style="277" customWidth="1"/>
    <col min="12802" max="12802" width="8.42578125" style="277" customWidth="1"/>
    <col min="12803" max="12803" width="9.7109375" style="277" bestFit="1" customWidth="1"/>
    <col min="12804" max="12804" width="3" style="277" customWidth="1"/>
    <col min="12805" max="12805" width="3.28515625" style="277" customWidth="1"/>
    <col min="12806" max="12807" width="2.85546875" style="277" customWidth="1"/>
    <col min="12808" max="12808" width="3" style="277" customWidth="1"/>
    <col min="12809" max="12809" width="2.5703125" style="277" customWidth="1"/>
    <col min="12810" max="12810" width="3" style="277" customWidth="1"/>
    <col min="12811" max="12811" width="2.7109375" style="277" customWidth="1"/>
    <col min="12812" max="12812" width="2.42578125" style="277" customWidth="1"/>
    <col min="12813" max="12813" width="13.85546875" style="277" bestFit="1" customWidth="1"/>
    <col min="12814" max="12814" width="9.140625" style="277"/>
    <col min="12815" max="12815" width="13.42578125" style="277" customWidth="1"/>
    <col min="12816" max="12816" width="19.42578125" style="277" customWidth="1"/>
    <col min="12817" max="12817" width="13.5703125" style="277" customWidth="1"/>
    <col min="12818" max="12818" width="24.5703125" style="277" customWidth="1"/>
    <col min="12819" max="12819" width="11.28515625" style="277" bestFit="1" customWidth="1"/>
    <col min="12820" max="13056" width="9.140625" style="277"/>
    <col min="13057" max="13057" width="64.5703125" style="277" customWidth="1"/>
    <col min="13058" max="13058" width="8.42578125" style="277" customWidth="1"/>
    <col min="13059" max="13059" width="9.7109375" style="277" bestFit="1" customWidth="1"/>
    <col min="13060" max="13060" width="3" style="277" customWidth="1"/>
    <col min="13061" max="13061" width="3.28515625" style="277" customWidth="1"/>
    <col min="13062" max="13063" width="2.85546875" style="277" customWidth="1"/>
    <col min="13064" max="13064" width="3" style="277" customWidth="1"/>
    <col min="13065" max="13065" width="2.5703125" style="277" customWidth="1"/>
    <col min="13066" max="13066" width="3" style="277" customWidth="1"/>
    <col min="13067" max="13067" width="2.7109375" style="277" customWidth="1"/>
    <col min="13068" max="13068" width="2.42578125" style="277" customWidth="1"/>
    <col min="13069" max="13069" width="13.85546875" style="277" bestFit="1" customWidth="1"/>
    <col min="13070" max="13070" width="9.140625" style="277"/>
    <col min="13071" max="13071" width="13.42578125" style="277" customWidth="1"/>
    <col min="13072" max="13072" width="19.42578125" style="277" customWidth="1"/>
    <col min="13073" max="13073" width="13.5703125" style="277" customWidth="1"/>
    <col min="13074" max="13074" width="24.5703125" style="277" customWidth="1"/>
    <col min="13075" max="13075" width="11.28515625" style="277" bestFit="1" customWidth="1"/>
    <col min="13076" max="13312" width="9.140625" style="277"/>
    <col min="13313" max="13313" width="64.5703125" style="277" customWidth="1"/>
    <col min="13314" max="13314" width="8.42578125" style="277" customWidth="1"/>
    <col min="13315" max="13315" width="9.7109375" style="277" bestFit="1" customWidth="1"/>
    <col min="13316" max="13316" width="3" style="277" customWidth="1"/>
    <col min="13317" max="13317" width="3.28515625" style="277" customWidth="1"/>
    <col min="13318" max="13319" width="2.85546875" style="277" customWidth="1"/>
    <col min="13320" max="13320" width="3" style="277" customWidth="1"/>
    <col min="13321" max="13321" width="2.5703125" style="277" customWidth="1"/>
    <col min="13322" max="13322" width="3" style="277" customWidth="1"/>
    <col min="13323" max="13323" width="2.7109375" style="277" customWidth="1"/>
    <col min="13324" max="13324" width="2.42578125" style="277" customWidth="1"/>
    <col min="13325" max="13325" width="13.85546875" style="277" bestFit="1" customWidth="1"/>
    <col min="13326" max="13326" width="9.140625" style="277"/>
    <col min="13327" max="13327" width="13.42578125" style="277" customWidth="1"/>
    <col min="13328" max="13328" width="19.42578125" style="277" customWidth="1"/>
    <col min="13329" max="13329" width="13.5703125" style="277" customWidth="1"/>
    <col min="13330" max="13330" width="24.5703125" style="277" customWidth="1"/>
    <col min="13331" max="13331" width="11.28515625" style="277" bestFit="1" customWidth="1"/>
    <col min="13332" max="13568" width="9.140625" style="277"/>
    <col min="13569" max="13569" width="64.5703125" style="277" customWidth="1"/>
    <col min="13570" max="13570" width="8.42578125" style="277" customWidth="1"/>
    <col min="13571" max="13571" width="9.7109375" style="277" bestFit="1" customWidth="1"/>
    <col min="13572" max="13572" width="3" style="277" customWidth="1"/>
    <col min="13573" max="13573" width="3.28515625" style="277" customWidth="1"/>
    <col min="13574" max="13575" width="2.85546875" style="277" customWidth="1"/>
    <col min="13576" max="13576" width="3" style="277" customWidth="1"/>
    <col min="13577" max="13577" width="2.5703125" style="277" customWidth="1"/>
    <col min="13578" max="13578" width="3" style="277" customWidth="1"/>
    <col min="13579" max="13579" width="2.7109375" style="277" customWidth="1"/>
    <col min="13580" max="13580" width="2.42578125" style="277" customWidth="1"/>
    <col min="13581" max="13581" width="13.85546875" style="277" bestFit="1" customWidth="1"/>
    <col min="13582" max="13582" width="9.140625" style="277"/>
    <col min="13583" max="13583" width="13.42578125" style="277" customWidth="1"/>
    <col min="13584" max="13584" width="19.42578125" style="277" customWidth="1"/>
    <col min="13585" max="13585" width="13.5703125" style="277" customWidth="1"/>
    <col min="13586" max="13586" width="24.5703125" style="277" customWidth="1"/>
    <col min="13587" max="13587" width="11.28515625" style="277" bestFit="1" customWidth="1"/>
    <col min="13588" max="13824" width="9.140625" style="277"/>
    <col min="13825" max="13825" width="64.5703125" style="277" customWidth="1"/>
    <col min="13826" max="13826" width="8.42578125" style="277" customWidth="1"/>
    <col min="13827" max="13827" width="9.7109375" style="277" bestFit="1" customWidth="1"/>
    <col min="13828" max="13828" width="3" style="277" customWidth="1"/>
    <col min="13829" max="13829" width="3.28515625" style="277" customWidth="1"/>
    <col min="13830" max="13831" width="2.85546875" style="277" customWidth="1"/>
    <col min="13832" max="13832" width="3" style="277" customWidth="1"/>
    <col min="13833" max="13833" width="2.5703125" style="277" customWidth="1"/>
    <col min="13834" max="13834" width="3" style="277" customWidth="1"/>
    <col min="13835" max="13835" width="2.7109375" style="277" customWidth="1"/>
    <col min="13836" max="13836" width="2.42578125" style="277" customWidth="1"/>
    <col min="13837" max="13837" width="13.85546875" style="277" bestFit="1" customWidth="1"/>
    <col min="13838" max="13838" width="9.140625" style="277"/>
    <col min="13839" max="13839" width="13.42578125" style="277" customWidth="1"/>
    <col min="13840" max="13840" width="19.42578125" style="277" customWidth="1"/>
    <col min="13841" max="13841" width="13.5703125" style="277" customWidth="1"/>
    <col min="13842" max="13842" width="24.5703125" style="277" customWidth="1"/>
    <col min="13843" max="13843" width="11.28515625" style="277" bestFit="1" customWidth="1"/>
    <col min="13844" max="14080" width="9.140625" style="277"/>
    <col min="14081" max="14081" width="64.5703125" style="277" customWidth="1"/>
    <col min="14082" max="14082" width="8.42578125" style="277" customWidth="1"/>
    <col min="14083" max="14083" width="9.7109375" style="277" bestFit="1" customWidth="1"/>
    <col min="14084" max="14084" width="3" style="277" customWidth="1"/>
    <col min="14085" max="14085" width="3.28515625" style="277" customWidth="1"/>
    <col min="14086" max="14087" width="2.85546875" style="277" customWidth="1"/>
    <col min="14088" max="14088" width="3" style="277" customWidth="1"/>
    <col min="14089" max="14089" width="2.5703125" style="277" customWidth="1"/>
    <col min="14090" max="14090" width="3" style="277" customWidth="1"/>
    <col min="14091" max="14091" width="2.7109375" style="277" customWidth="1"/>
    <col min="14092" max="14092" width="2.42578125" style="277" customWidth="1"/>
    <col min="14093" max="14093" width="13.85546875" style="277" bestFit="1" customWidth="1"/>
    <col min="14094" max="14094" width="9.140625" style="277"/>
    <col min="14095" max="14095" width="13.42578125" style="277" customWidth="1"/>
    <col min="14096" max="14096" width="19.42578125" style="277" customWidth="1"/>
    <col min="14097" max="14097" width="13.5703125" style="277" customWidth="1"/>
    <col min="14098" max="14098" width="24.5703125" style="277" customWidth="1"/>
    <col min="14099" max="14099" width="11.28515625" style="277" bestFit="1" customWidth="1"/>
    <col min="14100" max="14336" width="9.140625" style="277"/>
    <col min="14337" max="14337" width="64.5703125" style="277" customWidth="1"/>
    <col min="14338" max="14338" width="8.42578125" style="277" customWidth="1"/>
    <col min="14339" max="14339" width="9.7109375" style="277" bestFit="1" customWidth="1"/>
    <col min="14340" max="14340" width="3" style="277" customWidth="1"/>
    <col min="14341" max="14341" width="3.28515625" style="277" customWidth="1"/>
    <col min="14342" max="14343" width="2.85546875" style="277" customWidth="1"/>
    <col min="14344" max="14344" width="3" style="277" customWidth="1"/>
    <col min="14345" max="14345" width="2.5703125" style="277" customWidth="1"/>
    <col min="14346" max="14346" width="3" style="277" customWidth="1"/>
    <col min="14347" max="14347" width="2.7109375" style="277" customWidth="1"/>
    <col min="14348" max="14348" width="2.42578125" style="277" customWidth="1"/>
    <col min="14349" max="14349" width="13.85546875" style="277" bestFit="1" customWidth="1"/>
    <col min="14350" max="14350" width="9.140625" style="277"/>
    <col min="14351" max="14351" width="13.42578125" style="277" customWidth="1"/>
    <col min="14352" max="14352" width="19.42578125" style="277" customWidth="1"/>
    <col min="14353" max="14353" width="13.5703125" style="277" customWidth="1"/>
    <col min="14354" max="14354" width="24.5703125" style="277" customWidth="1"/>
    <col min="14355" max="14355" width="11.28515625" style="277" bestFit="1" customWidth="1"/>
    <col min="14356" max="14592" width="9.140625" style="277"/>
    <col min="14593" max="14593" width="64.5703125" style="277" customWidth="1"/>
    <col min="14594" max="14594" width="8.42578125" style="277" customWidth="1"/>
    <col min="14595" max="14595" width="9.7109375" style="277" bestFit="1" customWidth="1"/>
    <col min="14596" max="14596" width="3" style="277" customWidth="1"/>
    <col min="14597" max="14597" width="3.28515625" style="277" customWidth="1"/>
    <col min="14598" max="14599" width="2.85546875" style="277" customWidth="1"/>
    <col min="14600" max="14600" width="3" style="277" customWidth="1"/>
    <col min="14601" max="14601" width="2.5703125" style="277" customWidth="1"/>
    <col min="14602" max="14602" width="3" style="277" customWidth="1"/>
    <col min="14603" max="14603" width="2.7109375" style="277" customWidth="1"/>
    <col min="14604" max="14604" width="2.42578125" style="277" customWidth="1"/>
    <col min="14605" max="14605" width="13.85546875" style="277" bestFit="1" customWidth="1"/>
    <col min="14606" max="14606" width="9.140625" style="277"/>
    <col min="14607" max="14607" width="13.42578125" style="277" customWidth="1"/>
    <col min="14608" max="14608" width="19.42578125" style="277" customWidth="1"/>
    <col min="14609" max="14609" width="13.5703125" style="277" customWidth="1"/>
    <col min="14610" max="14610" width="24.5703125" style="277" customWidth="1"/>
    <col min="14611" max="14611" width="11.28515625" style="277" bestFit="1" customWidth="1"/>
    <col min="14612" max="14848" width="9.140625" style="277"/>
    <col min="14849" max="14849" width="64.5703125" style="277" customWidth="1"/>
    <col min="14850" max="14850" width="8.42578125" style="277" customWidth="1"/>
    <col min="14851" max="14851" width="9.7109375" style="277" bestFit="1" customWidth="1"/>
    <col min="14852" max="14852" width="3" style="277" customWidth="1"/>
    <col min="14853" max="14853" width="3.28515625" style="277" customWidth="1"/>
    <col min="14854" max="14855" width="2.85546875" style="277" customWidth="1"/>
    <col min="14856" max="14856" width="3" style="277" customWidth="1"/>
    <col min="14857" max="14857" width="2.5703125" style="277" customWidth="1"/>
    <col min="14858" max="14858" width="3" style="277" customWidth="1"/>
    <col min="14859" max="14859" width="2.7109375" style="277" customWidth="1"/>
    <col min="14860" max="14860" width="2.42578125" style="277" customWidth="1"/>
    <col min="14861" max="14861" width="13.85546875" style="277" bestFit="1" customWidth="1"/>
    <col min="14862" max="14862" width="9.140625" style="277"/>
    <col min="14863" max="14863" width="13.42578125" style="277" customWidth="1"/>
    <col min="14864" max="14864" width="19.42578125" style="277" customWidth="1"/>
    <col min="14865" max="14865" width="13.5703125" style="277" customWidth="1"/>
    <col min="14866" max="14866" width="24.5703125" style="277" customWidth="1"/>
    <col min="14867" max="14867" width="11.28515625" style="277" bestFit="1" customWidth="1"/>
    <col min="14868" max="15104" width="9.140625" style="277"/>
    <col min="15105" max="15105" width="64.5703125" style="277" customWidth="1"/>
    <col min="15106" max="15106" width="8.42578125" style="277" customWidth="1"/>
    <col min="15107" max="15107" width="9.7109375" style="277" bestFit="1" customWidth="1"/>
    <col min="15108" max="15108" width="3" style="277" customWidth="1"/>
    <col min="15109" max="15109" width="3.28515625" style="277" customWidth="1"/>
    <col min="15110" max="15111" width="2.85546875" style="277" customWidth="1"/>
    <col min="15112" max="15112" width="3" style="277" customWidth="1"/>
    <col min="15113" max="15113" width="2.5703125" style="277" customWidth="1"/>
    <col min="15114" max="15114" width="3" style="277" customWidth="1"/>
    <col min="15115" max="15115" width="2.7109375" style="277" customWidth="1"/>
    <col min="15116" max="15116" width="2.42578125" style="277" customWidth="1"/>
    <col min="15117" max="15117" width="13.85546875" style="277" bestFit="1" customWidth="1"/>
    <col min="15118" max="15118" width="9.140625" style="277"/>
    <col min="15119" max="15119" width="13.42578125" style="277" customWidth="1"/>
    <col min="15120" max="15120" width="19.42578125" style="277" customWidth="1"/>
    <col min="15121" max="15121" width="13.5703125" style="277" customWidth="1"/>
    <col min="15122" max="15122" width="24.5703125" style="277" customWidth="1"/>
    <col min="15123" max="15123" width="11.28515625" style="277" bestFit="1" customWidth="1"/>
    <col min="15124" max="15360" width="9.140625" style="277"/>
    <col min="15361" max="15361" width="64.5703125" style="277" customWidth="1"/>
    <col min="15362" max="15362" width="8.42578125" style="277" customWidth="1"/>
    <col min="15363" max="15363" width="9.7109375" style="277" bestFit="1" customWidth="1"/>
    <col min="15364" max="15364" width="3" style="277" customWidth="1"/>
    <col min="15365" max="15365" width="3.28515625" style="277" customWidth="1"/>
    <col min="15366" max="15367" width="2.85546875" style="277" customWidth="1"/>
    <col min="15368" max="15368" width="3" style="277" customWidth="1"/>
    <col min="15369" max="15369" width="2.5703125" style="277" customWidth="1"/>
    <col min="15370" max="15370" width="3" style="277" customWidth="1"/>
    <col min="15371" max="15371" width="2.7109375" style="277" customWidth="1"/>
    <col min="15372" max="15372" width="2.42578125" style="277" customWidth="1"/>
    <col min="15373" max="15373" width="13.85546875" style="277" bestFit="1" customWidth="1"/>
    <col min="15374" max="15374" width="9.140625" style="277"/>
    <col min="15375" max="15375" width="13.42578125" style="277" customWidth="1"/>
    <col min="15376" max="15376" width="19.42578125" style="277" customWidth="1"/>
    <col min="15377" max="15377" width="13.5703125" style="277" customWidth="1"/>
    <col min="15378" max="15378" width="24.5703125" style="277" customWidth="1"/>
    <col min="15379" max="15379" width="11.28515625" style="277" bestFit="1" customWidth="1"/>
    <col min="15380" max="15616" width="9.140625" style="277"/>
    <col min="15617" max="15617" width="64.5703125" style="277" customWidth="1"/>
    <col min="15618" max="15618" width="8.42578125" style="277" customWidth="1"/>
    <col min="15619" max="15619" width="9.7109375" style="277" bestFit="1" customWidth="1"/>
    <col min="15620" max="15620" width="3" style="277" customWidth="1"/>
    <col min="15621" max="15621" width="3.28515625" style="277" customWidth="1"/>
    <col min="15622" max="15623" width="2.85546875" style="277" customWidth="1"/>
    <col min="15624" max="15624" width="3" style="277" customWidth="1"/>
    <col min="15625" max="15625" width="2.5703125" style="277" customWidth="1"/>
    <col min="15626" max="15626" width="3" style="277" customWidth="1"/>
    <col min="15627" max="15627" width="2.7109375" style="277" customWidth="1"/>
    <col min="15628" max="15628" width="2.42578125" style="277" customWidth="1"/>
    <col min="15629" max="15629" width="13.85546875" style="277" bestFit="1" customWidth="1"/>
    <col min="15630" max="15630" width="9.140625" style="277"/>
    <col min="15631" max="15631" width="13.42578125" style="277" customWidth="1"/>
    <col min="15632" max="15632" width="19.42578125" style="277" customWidth="1"/>
    <col min="15633" max="15633" width="13.5703125" style="277" customWidth="1"/>
    <col min="15634" max="15634" width="24.5703125" style="277" customWidth="1"/>
    <col min="15635" max="15635" width="11.28515625" style="277" bestFit="1" customWidth="1"/>
    <col min="15636" max="15872" width="9.140625" style="277"/>
    <col min="15873" max="15873" width="64.5703125" style="277" customWidth="1"/>
    <col min="15874" max="15874" width="8.42578125" style="277" customWidth="1"/>
    <col min="15875" max="15875" width="9.7109375" style="277" bestFit="1" customWidth="1"/>
    <col min="15876" max="15876" width="3" style="277" customWidth="1"/>
    <col min="15877" max="15877" width="3.28515625" style="277" customWidth="1"/>
    <col min="15878" max="15879" width="2.85546875" style="277" customWidth="1"/>
    <col min="15880" max="15880" width="3" style="277" customWidth="1"/>
    <col min="15881" max="15881" width="2.5703125" style="277" customWidth="1"/>
    <col min="15882" max="15882" width="3" style="277" customWidth="1"/>
    <col min="15883" max="15883" width="2.7109375" style="277" customWidth="1"/>
    <col min="15884" max="15884" width="2.42578125" style="277" customWidth="1"/>
    <col min="15885" max="15885" width="13.85546875" style="277" bestFit="1" customWidth="1"/>
    <col min="15886" max="15886" width="9.140625" style="277"/>
    <col min="15887" max="15887" width="13.42578125" style="277" customWidth="1"/>
    <col min="15888" max="15888" width="19.42578125" style="277" customWidth="1"/>
    <col min="15889" max="15889" width="13.5703125" style="277" customWidth="1"/>
    <col min="15890" max="15890" width="24.5703125" style="277" customWidth="1"/>
    <col min="15891" max="15891" width="11.28515625" style="277" bestFit="1" customWidth="1"/>
    <col min="15892" max="16128" width="9.140625" style="277"/>
    <col min="16129" max="16129" width="64.5703125" style="277" customWidth="1"/>
    <col min="16130" max="16130" width="8.42578125" style="277" customWidth="1"/>
    <col min="16131" max="16131" width="9.7109375" style="277" bestFit="1" customWidth="1"/>
    <col min="16132" max="16132" width="3" style="277" customWidth="1"/>
    <col min="16133" max="16133" width="3.28515625" style="277" customWidth="1"/>
    <col min="16134" max="16135" width="2.85546875" style="277" customWidth="1"/>
    <col min="16136" max="16136" width="3" style="277" customWidth="1"/>
    <col min="16137" max="16137" width="2.5703125" style="277" customWidth="1"/>
    <col min="16138" max="16138" width="3" style="277" customWidth="1"/>
    <col min="16139" max="16139" width="2.7109375" style="277" customWidth="1"/>
    <col min="16140" max="16140" width="2.42578125" style="277" customWidth="1"/>
    <col min="16141" max="16141" width="13.85546875" style="277" bestFit="1" customWidth="1"/>
    <col min="16142" max="16142" width="9.140625" style="277"/>
    <col min="16143" max="16143" width="13.42578125" style="277" customWidth="1"/>
    <col min="16144" max="16144" width="19.42578125" style="277" customWidth="1"/>
    <col min="16145" max="16145" width="13.5703125" style="277" customWidth="1"/>
    <col min="16146" max="16146" width="24.5703125" style="277" customWidth="1"/>
    <col min="16147" max="16147" width="11.28515625" style="277" bestFit="1" customWidth="1"/>
    <col min="16148" max="16384" width="9.140625" style="277"/>
  </cols>
  <sheetData>
    <row r="1" spans="1:25" s="276" customFormat="1">
      <c r="A1" s="689" t="s">
        <v>939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</row>
    <row r="2" spans="1:25" s="276" customFormat="1">
      <c r="A2" s="938" t="str">
        <f>'10-1'!A2:G2</f>
        <v>วิทยาลัยนวัตกรรมการจัดการ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434" t="str">
        <f>ปก!B9</f>
        <v>กลุ่มสาขาวิชามนุษยศาสตร์และสังคมศาสตร์</v>
      </c>
    </row>
    <row r="3" spans="1:25" ht="19.5" thickBot="1">
      <c r="A3" s="939" t="str">
        <f>'10-1'!A3:G3</f>
        <v>(ใส่ชื่อสาขาต้องพิมพ์ ถ้าจัดทำในระดับสาขา ถ้าในระดับคณะหน่วยงานว่างไว้)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</row>
    <row r="4" spans="1:25" ht="27" customHeight="1" thickBot="1">
      <c r="A4" s="940" t="s">
        <v>441</v>
      </c>
      <c r="B4" s="941" t="s">
        <v>8</v>
      </c>
      <c r="C4" s="942" t="s">
        <v>442</v>
      </c>
      <c r="D4" s="942" t="s">
        <v>443</v>
      </c>
      <c r="E4" s="942"/>
      <c r="F4" s="942"/>
      <c r="G4" s="942"/>
      <c r="H4" s="942"/>
      <c r="I4" s="942"/>
      <c r="J4" s="942"/>
      <c r="K4" s="942"/>
      <c r="L4" s="942"/>
      <c r="M4" s="943" t="s">
        <v>0</v>
      </c>
      <c r="N4" s="943"/>
      <c r="O4" s="943"/>
      <c r="P4" s="944" t="s">
        <v>444</v>
      </c>
      <c r="Q4" s="945" t="s">
        <v>41</v>
      </c>
      <c r="R4" s="945" t="s">
        <v>10</v>
      </c>
    </row>
    <row r="5" spans="1:25" ht="29.25" customHeight="1" thickBot="1">
      <c r="A5" s="940"/>
      <c r="B5" s="942"/>
      <c r="C5" s="942"/>
      <c r="D5" s="278">
        <v>1</v>
      </c>
      <c r="E5" s="278">
        <v>2</v>
      </c>
      <c r="F5" s="278">
        <v>3</v>
      </c>
      <c r="G5" s="278">
        <v>4</v>
      </c>
      <c r="H5" s="278">
        <v>5</v>
      </c>
      <c r="I5" s="278">
        <v>6</v>
      </c>
      <c r="J5" s="278">
        <v>7</v>
      </c>
      <c r="K5" s="278">
        <v>8</v>
      </c>
      <c r="L5" s="278">
        <v>9</v>
      </c>
      <c r="M5" s="279" t="s">
        <v>445</v>
      </c>
      <c r="N5" s="279" t="s">
        <v>446</v>
      </c>
      <c r="O5" s="280" t="s">
        <v>447</v>
      </c>
      <c r="P5" s="944"/>
      <c r="Q5" s="945"/>
      <c r="R5" s="945"/>
    </row>
    <row r="6" spans="1:25" ht="21.75" thickBot="1">
      <c r="A6" s="281" t="s">
        <v>448</v>
      </c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4"/>
      <c r="N6" s="284"/>
      <c r="O6" s="284"/>
      <c r="P6" s="285"/>
      <c r="Q6" s="286" t="e">
        <f>AVERAGE(Q7:Q10)</f>
        <v>#DIV/0!</v>
      </c>
      <c r="R6" s="635" t="e">
        <f>IF(Q6&gt;4.5,"ระดับดีมาก",IF(Q6&gt;3.5,"ระดับดี",IF(Q6&gt;2.5,"ระดับพอใช้",IF(Q6&gt;1.5,"ต้องปรับปรุง",IF(Q6&gt;=0,"ต้องปรับปรุงเร่งด่วน")))))</f>
        <v>#DIV/0!</v>
      </c>
    </row>
    <row r="7" spans="1:25" ht="23.25" hidden="1" customHeight="1" thickBot="1">
      <c r="A7" s="288" t="s">
        <v>575</v>
      </c>
      <c r="B7" s="289" t="s">
        <v>40</v>
      </c>
      <c r="C7" s="290">
        <f>เป้าหมายคุณภาพ!C7</f>
        <v>0</v>
      </c>
      <c r="D7" s="458">
        <f>'1.1'!T10</f>
        <v>0</v>
      </c>
      <c r="E7" s="458">
        <f>'1.1'!U10</f>
        <v>0</v>
      </c>
      <c r="F7" s="458">
        <f>'1.1'!V10</f>
        <v>0</v>
      </c>
      <c r="G7" s="458">
        <f>'1.1'!W10</f>
        <v>0</v>
      </c>
      <c r="H7" s="458">
        <f>'1.1'!X10</f>
        <v>0</v>
      </c>
      <c r="I7" s="458">
        <f>'1.1'!Y10</f>
        <v>0</v>
      </c>
      <c r="J7" s="458">
        <f>'1.1'!Z10</f>
        <v>0</v>
      </c>
      <c r="K7" s="458">
        <f>'1.1'!AA10</f>
        <v>0</v>
      </c>
      <c r="L7" s="459"/>
      <c r="M7" s="292">
        <f>IF('1.1'!G6="ไม่ประเมิน","",(D7+E7+F7+G7+H7+I7+J7+K7))</f>
        <v>0</v>
      </c>
      <c r="N7" s="460"/>
      <c r="O7" s="292">
        <f>M7</f>
        <v>0</v>
      </c>
      <c r="P7" s="293" t="str">
        <f>IF(O7="","",IF(O7 &gt;=C7,"ü",IF(O7&lt;C7,"û")))</f>
        <v>ü</v>
      </c>
      <c r="Q7" s="292">
        <f>IF(O7="","",IF(O7&gt;7,5,IF(O7&gt;5,4,IF(O7&gt;3,3,IF(O7&gt;1,2,IF(O7&gt;0,1,0))))))</f>
        <v>0</v>
      </c>
      <c r="R7" s="628" t="str">
        <f>IF(Q7="","ไม่รับการประเมิน","")</f>
        <v/>
      </c>
      <c r="W7" s="276"/>
      <c r="X7" s="461" t="s">
        <v>576</v>
      </c>
      <c r="Y7" s="462" t="e">
        <f>Q60</f>
        <v>#DIV/0!</v>
      </c>
    </row>
    <row r="8" spans="1:25" ht="23.25" hidden="1" customHeight="1" thickBot="1">
      <c r="A8" s="288" t="s">
        <v>149</v>
      </c>
      <c r="B8" s="289" t="s">
        <v>40</v>
      </c>
      <c r="C8" s="290">
        <f>เป้าหมายคุณภาพ!C8</f>
        <v>0</v>
      </c>
      <c r="D8" s="607">
        <f>'1-16.1'!T10</f>
        <v>0</v>
      </c>
      <c r="E8" s="607">
        <f>'1-16.1'!U10</f>
        <v>0</v>
      </c>
      <c r="F8" s="607">
        <f>'1-16.1'!V10</f>
        <v>0</v>
      </c>
      <c r="G8" s="607">
        <f>'1-16.1'!W10</f>
        <v>0</v>
      </c>
      <c r="H8" s="607">
        <f>'1-16.1'!X10</f>
        <v>0</v>
      </c>
      <c r="I8" s="610"/>
      <c r="J8" s="610"/>
      <c r="K8" s="611"/>
      <c r="L8" s="601"/>
      <c r="M8" s="292">
        <f>IF('1-16.1'!G6="ไม่ประเมิน","",(D8+E8+F8+G8+H8))</f>
        <v>0</v>
      </c>
      <c r="N8" s="460"/>
      <c r="O8" s="292">
        <f>M8</f>
        <v>0</v>
      </c>
      <c r="P8" s="293" t="str">
        <f>IF(O8="","",IF(O8 &gt;=C8,"ü",IF(O8&lt;C8,"û")))</f>
        <v>ü</v>
      </c>
      <c r="Q8" s="292">
        <f>IF(O8="","",IF(O8&gt;4,5,IF(O8&gt;3,4,IF(O8&gt;2,3,IF(O8&gt;1,2,IF(O8&gt;0,1,0))))))</f>
        <v>0</v>
      </c>
      <c r="R8" s="628" t="str">
        <f t="shared" ref="R8:R9" si="0">IF(Q8="","ไม่รับการประเมิน","")</f>
        <v/>
      </c>
      <c r="W8" s="276"/>
      <c r="X8" s="602"/>
      <c r="Y8" s="603"/>
    </row>
    <row r="9" spans="1:25" ht="21.75" thickBot="1">
      <c r="A9" s="295" t="s">
        <v>449</v>
      </c>
      <c r="B9" s="299" t="s">
        <v>39</v>
      </c>
      <c r="C9" s="296">
        <f>เป้าหมายคุณภาพ!C9</f>
        <v>0</v>
      </c>
      <c r="D9" s="300"/>
      <c r="E9" s="301"/>
      <c r="F9" s="301"/>
      <c r="G9" s="301"/>
      <c r="H9" s="301"/>
      <c r="I9" s="301"/>
      <c r="J9" s="301"/>
      <c r="K9" s="301"/>
      <c r="L9" s="301"/>
      <c r="M9" s="302">
        <f>IF('1-16.2'!G6="ไม่ประเมิน","",'1-16.2'!F13)</f>
        <v>0</v>
      </c>
      <c r="N9" s="414">
        <f>IF('1-16.2'!G6="ไม่ประเมิน","",'1-16.2'!F12)</f>
        <v>0</v>
      </c>
      <c r="O9" s="606" t="e">
        <f>IF('1-16.2'!G6="ไม่ประเมิน","",M9/N9)</f>
        <v>#DIV/0!</v>
      </c>
      <c r="P9" s="298" t="e">
        <f>IF(O9="","",IF(O9 &gt;=C9,"ü",IF(O9&lt;C9,"û")))</f>
        <v>#DIV/0!</v>
      </c>
      <c r="Q9" s="305" t="e">
        <f>IF(O9="","",O9)</f>
        <v>#DIV/0!</v>
      </c>
      <c r="R9" s="628" t="e">
        <f t="shared" si="0"/>
        <v>#DIV/0!</v>
      </c>
    </row>
    <row r="10" spans="1:25" ht="42.75" hidden="1" thickBot="1">
      <c r="A10" s="604" t="s">
        <v>155</v>
      </c>
      <c r="B10" s="605" t="s">
        <v>40</v>
      </c>
      <c r="C10" s="296">
        <f>เป้าหมายคุณภาพ!C10</f>
        <v>0</v>
      </c>
      <c r="D10" s="609">
        <f>'1-17'!T10</f>
        <v>0</v>
      </c>
      <c r="E10" s="609">
        <f>'1-17'!U10</f>
        <v>0</v>
      </c>
      <c r="F10" s="609">
        <f>'1-17'!V10</f>
        <v>0</v>
      </c>
      <c r="G10" s="609">
        <f>'1-17'!W10</f>
        <v>0</v>
      </c>
      <c r="H10" s="609">
        <f>'1-17'!X10</f>
        <v>0</v>
      </c>
      <c r="I10" s="612"/>
      <c r="J10" s="612"/>
      <c r="K10" s="612"/>
      <c r="L10" s="608"/>
      <c r="M10" s="613">
        <f>IF('1-17'!G6="ไม่ประเมิน","",(D10+E10+F10+G10+H10))</f>
        <v>0</v>
      </c>
      <c r="N10" s="614"/>
      <c r="O10" s="615">
        <f>M10</f>
        <v>0</v>
      </c>
      <c r="P10" s="298" t="str">
        <f>IF(O10="","",IF(O10 &gt;=C10,"ü",IF(O10&lt;C10,"û")))</f>
        <v>ü</v>
      </c>
      <c r="Q10" s="616">
        <f>IF(O10="","",IF(O10&gt;4,5,IF(O10&gt;3,4,IF(O10&gt;2,3,IF(O10&gt;1,2,IF(O10&gt;0,1,0))))))</f>
        <v>0</v>
      </c>
      <c r="R10" s="628" t="str">
        <f>IF(Q10="","ไม่รับการประเมิน","")</f>
        <v/>
      </c>
    </row>
    <row r="11" spans="1:25" ht="21.75" thickBot="1">
      <c r="A11" s="306" t="s">
        <v>450</v>
      </c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9"/>
      <c r="N11" s="310"/>
      <c r="O11" s="310"/>
      <c r="P11" s="311"/>
      <c r="Q11" s="286" t="e">
        <f>AVERAGE(Q12:Q26)</f>
        <v>#DIV/0!</v>
      </c>
      <c r="R11" s="636" t="e">
        <f>IF(Q11&gt;4.5,"ระดับดีมาก",IF(Q11&gt;3.5,"ระดับดี",IF(Q11&gt;2.5,"ระดับพอใช้",IF(Q11&gt;1.5,"ต้องปรับปรุง",IF(Q11&gt;=0,"ต้องปรับปรุงเร่งด่วน")))))</f>
        <v>#DIV/0!</v>
      </c>
    </row>
    <row r="12" spans="1:25" ht="21.75" thickBot="1">
      <c r="A12" s="313" t="s">
        <v>451</v>
      </c>
      <c r="B12" s="314" t="s">
        <v>40</v>
      </c>
      <c r="C12" s="290">
        <f>เป้าหมายคุณภาพ!C12</f>
        <v>0</v>
      </c>
      <c r="D12" s="291">
        <f>'2.1'!T10</f>
        <v>0</v>
      </c>
      <c r="E12" s="291">
        <f>'2.1'!U10</f>
        <v>0</v>
      </c>
      <c r="F12" s="291">
        <f>'2.1'!V10</f>
        <v>0</v>
      </c>
      <c r="G12" s="291">
        <f>'2.1'!W10</f>
        <v>0</v>
      </c>
      <c r="H12" s="291">
        <f>'2.1'!X10</f>
        <v>0</v>
      </c>
      <c r="I12" s="291">
        <f>'2.1'!Y10</f>
        <v>0</v>
      </c>
      <c r="J12" s="315"/>
      <c r="K12" s="315"/>
      <c r="L12" s="315"/>
      <c r="M12" s="297">
        <f>IF('2.1'!G6="ไม่ประเมิน","",(D12+E12+F12+G12+H12+I12))</f>
        <v>0</v>
      </c>
      <c r="N12" s="297"/>
      <c r="O12" s="297">
        <f>IF(SUM(D12:H12)=5,SUM(D12:I12),SUM(D12:H12))</f>
        <v>0</v>
      </c>
      <c r="P12" s="298" t="str">
        <f t="shared" ref="P12:P26" si="1">IF(O12="","",IF(O12 &gt;=C12,"ü",IF(O12&lt;C12,"û")))</f>
        <v>ü</v>
      </c>
      <c r="Q12" s="297">
        <f>IF(O12="","",IF(O12&gt;5,5,IF(O12&gt;3,4,IF(O12&gt;2,3,IF(O12&gt;1,2,IF(O12&gt;0,1,0))))))</f>
        <v>0</v>
      </c>
      <c r="R12" s="628" t="str">
        <f>IF(Q12="","ไม่รับการประเมิน","")</f>
        <v/>
      </c>
    </row>
    <row r="13" spans="1:25" ht="21.75" thickBot="1">
      <c r="A13" s="925" t="s">
        <v>452</v>
      </c>
      <c r="B13" s="316" t="s">
        <v>5</v>
      </c>
      <c r="C13" s="290">
        <f>เป้าหมายคุณภาพ!C13</f>
        <v>0</v>
      </c>
      <c r="D13" s="927"/>
      <c r="E13" s="928"/>
      <c r="F13" s="928"/>
      <c r="G13" s="928"/>
      <c r="H13" s="928"/>
      <c r="I13" s="928"/>
      <c r="J13" s="928"/>
      <c r="K13" s="928"/>
      <c r="L13" s="929"/>
      <c r="M13" s="412">
        <f>IF('2.2'!G6="ไม่ประเมิน","",'2.2'!F12)</f>
        <v>0</v>
      </c>
      <c r="N13" s="412">
        <f>IF('2.2'!G6="ไม่ประเมิน","",'2.2'!F11)</f>
        <v>0</v>
      </c>
      <c r="O13" s="318" t="e">
        <f>IF('2.2'!G6="ไม่ประเมิน","",(M13/N13)*100)</f>
        <v>#DIV/0!</v>
      </c>
      <c r="P13" s="319" t="e">
        <f t="shared" si="1"/>
        <v>#DIV/0!</v>
      </c>
      <c r="Q13" s="936" t="e">
        <f>IF(O14="","",IF(S13&gt;S14,S13,S14))</f>
        <v>#DIV/0!</v>
      </c>
      <c r="R13" s="933" t="e">
        <f>IF(Q13="","ไม่รับการประเมิน","")</f>
        <v>#DIV/0!</v>
      </c>
      <c r="S13" s="431" t="e">
        <f>IF(O13&gt;=30,5,O13*5/30)</f>
        <v>#DIV/0!</v>
      </c>
    </row>
    <row r="14" spans="1:25" ht="21.75" thickBot="1">
      <c r="A14" s="926"/>
      <c r="B14" s="320" t="s">
        <v>453</v>
      </c>
      <c r="C14" s="290">
        <f>เป้าหมายคุณภาพ!C14</f>
        <v>0</v>
      </c>
      <c r="D14" s="930"/>
      <c r="E14" s="931"/>
      <c r="F14" s="931"/>
      <c r="G14" s="931"/>
      <c r="H14" s="931"/>
      <c r="I14" s="931"/>
      <c r="J14" s="931"/>
      <c r="K14" s="931"/>
      <c r="L14" s="932"/>
      <c r="M14" s="322" t="e">
        <f>O13</f>
        <v>#DIV/0!</v>
      </c>
      <c r="N14" s="323" t="e">
        <f>IF('2.2'!G6="ไม่ประเมิน","",'2.2'!F19)</f>
        <v>#DIV/0!</v>
      </c>
      <c r="O14" s="304" t="e">
        <f>IF('2.2'!G6="ไม่ประเมิน","",M14-N14)</f>
        <v>#DIV/0!</v>
      </c>
      <c r="P14" s="298" t="e">
        <f t="shared" si="1"/>
        <v>#DIV/0!</v>
      </c>
      <c r="Q14" s="937"/>
      <c r="R14" s="934"/>
      <c r="S14" s="432" t="e">
        <f>IF(O14&gt;=6,5,IF(O14,(O14*5)/6,0))</f>
        <v>#DIV/0!</v>
      </c>
    </row>
    <row r="15" spans="1:25" ht="24" customHeight="1" thickBot="1">
      <c r="A15" s="925" t="s">
        <v>454</v>
      </c>
      <c r="B15" s="316" t="s">
        <v>5</v>
      </c>
      <c r="C15" s="290">
        <f>เป้าหมายคุณภาพ!C15</f>
        <v>0</v>
      </c>
      <c r="D15" s="927"/>
      <c r="E15" s="928"/>
      <c r="F15" s="928"/>
      <c r="G15" s="928"/>
      <c r="H15" s="928"/>
      <c r="I15" s="928"/>
      <c r="J15" s="928"/>
      <c r="K15" s="928"/>
      <c r="L15" s="929"/>
      <c r="M15" s="303">
        <f>IF('2.3'!G6="ไม่ประเมิน","",'2.3'!F12)</f>
        <v>0</v>
      </c>
      <c r="N15" s="414">
        <f>IF('2.3'!G6="ไม่ประเมิน","",'2.3'!F11)</f>
        <v>0</v>
      </c>
      <c r="O15" s="304" t="e">
        <f>IF('2.3'!G6="ไม่ประเมิน","",(M15/N15)*100)</f>
        <v>#DIV/0!</v>
      </c>
      <c r="P15" s="298" t="e">
        <f t="shared" si="1"/>
        <v>#DIV/0!</v>
      </c>
      <c r="Q15" s="936" t="e">
        <f>IF(O15="","",IF(S15&gt;S16,S15,S16))</f>
        <v>#DIV/0!</v>
      </c>
      <c r="R15" s="935" t="e">
        <f>IF(Q15="","ไม่รับการประเมิน","")</f>
        <v>#DIV/0!</v>
      </c>
      <c r="S15" s="432" t="e">
        <f>IF(O15&gt;=60,5,IF(O15,(O15*5)/60,0))</f>
        <v>#DIV/0!</v>
      </c>
    </row>
    <row r="16" spans="1:25" ht="21.75" thickBot="1">
      <c r="A16" s="926"/>
      <c r="B16" s="320" t="s">
        <v>453</v>
      </c>
      <c r="C16" s="290">
        <f>เป้าหมายคุณภาพ!C16</f>
        <v>0</v>
      </c>
      <c r="D16" s="930"/>
      <c r="E16" s="931"/>
      <c r="F16" s="931"/>
      <c r="G16" s="931"/>
      <c r="H16" s="931"/>
      <c r="I16" s="931"/>
      <c r="J16" s="931"/>
      <c r="K16" s="931"/>
      <c r="L16" s="932"/>
      <c r="M16" s="415" t="e">
        <f>O15</f>
        <v>#DIV/0!</v>
      </c>
      <c r="N16" s="416" t="e">
        <f>IF('2.3'!G6="ไม่ประเมิน","",'2.3'!F19)</f>
        <v>#DIV/0!</v>
      </c>
      <c r="O16" s="318" t="e">
        <f>IF('2.3'!G6="ไม่ประเมิน","",M16-N16)</f>
        <v>#DIV/0!</v>
      </c>
      <c r="P16" s="298" t="e">
        <f t="shared" si="1"/>
        <v>#DIV/0!</v>
      </c>
      <c r="Q16" s="937"/>
      <c r="R16" s="934"/>
      <c r="S16" s="432" t="e">
        <f>IF(O16&gt;=12,5,(O16*5/12))</f>
        <v>#DIV/0!</v>
      </c>
    </row>
    <row r="17" spans="1:20" ht="30.75" hidden="1" customHeight="1" thickBot="1">
      <c r="A17" s="288" t="s">
        <v>577</v>
      </c>
      <c r="B17" s="289" t="s">
        <v>40</v>
      </c>
      <c r="C17" s="290">
        <f>เป้าหมายคุณภาพ!C17</f>
        <v>0</v>
      </c>
      <c r="D17" s="291">
        <f>'2.4'!R10</f>
        <v>0</v>
      </c>
      <c r="E17" s="291">
        <f>'2.4'!S10</f>
        <v>0</v>
      </c>
      <c r="F17" s="291">
        <f>'2.4'!T10</f>
        <v>0</v>
      </c>
      <c r="G17" s="291">
        <f>'2.4'!U10</f>
        <v>0</v>
      </c>
      <c r="H17" s="291">
        <f>'2.4'!V10</f>
        <v>0</v>
      </c>
      <c r="I17" s="291">
        <f>'2.4'!W10</f>
        <v>0</v>
      </c>
      <c r="J17" s="291">
        <f>'2.4'!X10</f>
        <v>0</v>
      </c>
      <c r="K17" s="459"/>
      <c r="L17" s="459"/>
      <c r="M17" s="292">
        <f>IF('2.4'!G6="ไม่ประเมิน","",(D17+E17+F17+G17+H17+I17+J17))</f>
        <v>0</v>
      </c>
      <c r="N17" s="292"/>
      <c r="O17" s="292">
        <f>M17</f>
        <v>0</v>
      </c>
      <c r="P17" s="293" t="str">
        <f t="shared" si="1"/>
        <v>ü</v>
      </c>
      <c r="Q17" s="463">
        <f>IF(O17="","",IF(O17&gt;6,5,IF(O17&gt;4,4,IF(O17&gt;2,3,IF(O17&gt;1,2,IF(O17&gt;0,1,0))))))</f>
        <v>0</v>
      </c>
      <c r="R17" s="631" t="str">
        <f>IF(Q17="","ไม่รับการประเมิน","")</f>
        <v/>
      </c>
    </row>
    <row r="18" spans="1:20" ht="28.5" hidden="1" customHeight="1" thickBot="1">
      <c r="A18" s="288" t="s">
        <v>578</v>
      </c>
      <c r="B18" s="289" t="s">
        <v>40</v>
      </c>
      <c r="C18" s="290">
        <f>เป้าหมายคุณภาพ!C18</f>
        <v>0</v>
      </c>
      <c r="D18" s="327">
        <f>'2.5'!R10</f>
        <v>0</v>
      </c>
      <c r="E18" s="327">
        <f>'2.5'!S10</f>
        <v>0</v>
      </c>
      <c r="F18" s="327">
        <f>'2.5'!T10</f>
        <v>0</v>
      </c>
      <c r="G18" s="327">
        <f>'2.5'!U10</f>
        <v>0</v>
      </c>
      <c r="H18" s="327">
        <f>'2.5'!V10</f>
        <v>0</v>
      </c>
      <c r="I18" s="327">
        <f>'2.5'!W10</f>
        <v>0</v>
      </c>
      <c r="J18" s="327">
        <f>'2.5'!X10</f>
        <v>0</v>
      </c>
      <c r="K18" s="328"/>
      <c r="L18" s="328"/>
      <c r="M18" s="292">
        <f>IF('2.5'!G6="ไม่ประเมิน","",(D18+E18+F18+G18+H18+I18+J18))</f>
        <v>0</v>
      </c>
      <c r="N18" s="297"/>
      <c r="O18" s="292">
        <f>M18</f>
        <v>0</v>
      </c>
      <c r="P18" s="293" t="str">
        <f t="shared" si="1"/>
        <v>ü</v>
      </c>
      <c r="Q18" s="463">
        <f>IF(O18="","",IF(O18&gt;6,5,IF(O18&gt;4,4,IF(O18&gt;2,3,IF(O18&gt;1,2,IF(O18&gt;0,1,0))))))</f>
        <v>0</v>
      </c>
      <c r="R18" s="631" t="str">
        <f t="shared" ref="R18:R26" si="2">IF(Q18="","ไม่รับการประเมิน","")</f>
        <v/>
      </c>
    </row>
    <row r="19" spans="1:20" ht="30.75" customHeight="1" thickBot="1">
      <c r="A19" s="288" t="s">
        <v>455</v>
      </c>
      <c r="B19" s="289" t="s">
        <v>40</v>
      </c>
      <c r="C19" s="290">
        <f>เป้าหมายคุณภาพ!C19</f>
        <v>0</v>
      </c>
      <c r="D19" s="327">
        <f>'2.6'!R10</f>
        <v>0</v>
      </c>
      <c r="E19" s="327">
        <f>'2.6'!S10</f>
        <v>0</v>
      </c>
      <c r="F19" s="327">
        <f>'2.6'!T10</f>
        <v>0</v>
      </c>
      <c r="G19" s="327">
        <f>'2.6'!U10</f>
        <v>0</v>
      </c>
      <c r="H19" s="327">
        <f>'2.6'!V10</f>
        <v>0</v>
      </c>
      <c r="I19" s="327">
        <f>'2.6'!W10</f>
        <v>0</v>
      </c>
      <c r="J19" s="327">
        <f>'2.6'!X10</f>
        <v>0</v>
      </c>
      <c r="K19" s="328"/>
      <c r="L19" s="328"/>
      <c r="M19" s="292">
        <f>IF('2.6'!G6="ไม่ประเมิน","",(D19+E19+F19+G19+H19+I19+J19))</f>
        <v>0</v>
      </c>
      <c r="N19" s="297"/>
      <c r="O19" s="292">
        <f>M19</f>
        <v>0</v>
      </c>
      <c r="P19" s="293" t="str">
        <f t="shared" si="1"/>
        <v>ü</v>
      </c>
      <c r="Q19" s="292">
        <f>IF(O19="","",IF(O19&gt;6,5,IF(O19&gt;5,4,IF(O19&gt;3,3,IF(O19&gt;1,2,IF(O19&gt;0,1,0))))))</f>
        <v>0</v>
      </c>
      <c r="R19" s="631" t="str">
        <f t="shared" si="2"/>
        <v/>
      </c>
    </row>
    <row r="20" spans="1:20" ht="21.75" thickBot="1">
      <c r="A20" s="329" t="s">
        <v>456</v>
      </c>
      <c r="B20" s="330" t="s">
        <v>40</v>
      </c>
      <c r="C20" s="290">
        <f>เป้าหมายคุณภาพ!C20</f>
        <v>0</v>
      </c>
      <c r="D20" s="327">
        <f>'2.7'!T10</f>
        <v>0</v>
      </c>
      <c r="E20" s="327">
        <f>'2.7'!U10</f>
        <v>0</v>
      </c>
      <c r="F20" s="327">
        <f>'2.7'!V10</f>
        <v>0</v>
      </c>
      <c r="G20" s="327">
        <f>'2.7'!W10</f>
        <v>0</v>
      </c>
      <c r="H20" s="327">
        <f>'2.7'!X10</f>
        <v>0</v>
      </c>
      <c r="I20" s="331"/>
      <c r="J20" s="331"/>
      <c r="K20" s="331"/>
      <c r="L20" s="331"/>
      <c r="M20" s="292">
        <f>IF('2.7'!G6="ไม่ประเมิน","",(D20+E20+F20+G20+H20))</f>
        <v>0</v>
      </c>
      <c r="N20" s="297"/>
      <c r="O20" s="292">
        <f>M20</f>
        <v>0</v>
      </c>
      <c r="P20" s="293" t="str">
        <f t="shared" si="1"/>
        <v>ü</v>
      </c>
      <c r="Q20" s="292">
        <f>IF(O20="","",IF(O20&gt;4,5,IF(O20&gt;3,4,IF(O20&gt;2,3,IF(O20&gt;1,2,IF(O20&gt;0,1,0))))))</f>
        <v>0</v>
      </c>
      <c r="R20" s="631" t="str">
        <f t="shared" si="2"/>
        <v/>
      </c>
    </row>
    <row r="21" spans="1:20" ht="21.75" hidden="1" thickBot="1">
      <c r="A21" s="509" t="s">
        <v>835</v>
      </c>
      <c r="B21" s="330" t="s">
        <v>40</v>
      </c>
      <c r="C21" s="290">
        <f>เป้าหมายคุณภาพ!C21</f>
        <v>0</v>
      </c>
      <c r="D21" s="515">
        <f>'2.8'!T10</f>
        <v>0</v>
      </c>
      <c r="E21" s="515">
        <f>'2.8'!U10</f>
        <v>0</v>
      </c>
      <c r="F21" s="515">
        <f>'2.8'!V10</f>
        <v>0</v>
      </c>
      <c r="G21" s="515">
        <f>'2.8'!W10</f>
        <v>0</v>
      </c>
      <c r="H21" s="515">
        <f>'2.8'!X10</f>
        <v>0</v>
      </c>
      <c r="I21" s="514"/>
      <c r="J21" s="514"/>
      <c r="K21" s="514"/>
      <c r="L21" s="331"/>
      <c r="M21" s="292">
        <f>IF('2.8'!G6="ไม่ประเมิน","",(D21+E21+F21+G21+H21))</f>
        <v>0</v>
      </c>
      <c r="N21" s="297"/>
      <c r="O21" s="292">
        <f>M21</f>
        <v>0</v>
      </c>
      <c r="P21" s="293" t="str">
        <f t="shared" si="1"/>
        <v>ü</v>
      </c>
      <c r="Q21" s="292">
        <f>IF(O21="","",IF(O21&gt;4,5,IF(O21&gt;3,4,IF(O21&gt;2,3,IF(O21&gt;1,2,IF(O21&gt;0,1,0))))))</f>
        <v>0</v>
      </c>
      <c r="R21" s="631" t="str">
        <f t="shared" si="2"/>
        <v/>
      </c>
    </row>
    <row r="22" spans="1:20" ht="21.75" thickBot="1">
      <c r="A22" s="449" t="s">
        <v>579</v>
      </c>
      <c r="B22" s="330" t="s">
        <v>5</v>
      </c>
      <c r="C22" s="290">
        <f>เป้าหมายคุณภาพ!C22</f>
        <v>0</v>
      </c>
      <c r="D22" s="915"/>
      <c r="E22" s="916"/>
      <c r="F22" s="916"/>
      <c r="G22" s="916"/>
      <c r="H22" s="916"/>
      <c r="I22" s="916"/>
      <c r="J22" s="916"/>
      <c r="K22" s="916"/>
      <c r="L22" s="917"/>
      <c r="M22" s="332">
        <f>IF('2-1'!G6="ไม่ประเมิน","",'2-1'!F13)</f>
        <v>0</v>
      </c>
      <c r="N22" s="332">
        <f>IF('2-1'!G6="ไม่ประเมิน","",'2-1'!F12)</f>
        <v>0</v>
      </c>
      <c r="O22" s="333" t="e">
        <f>IF('2-1'!G6="ไม่ประเมิน","",(M22/N22)*100)</f>
        <v>#DIV/0!</v>
      </c>
      <c r="P22" s="293" t="e">
        <f t="shared" si="1"/>
        <v>#DIV/0!</v>
      </c>
      <c r="Q22" s="334" t="e">
        <f>IF(O22="","",IF(O22&gt;=100,5,IF(O22,(O22*5)/100,0)))</f>
        <v>#DIV/0!</v>
      </c>
      <c r="R22" s="631" t="e">
        <f t="shared" si="2"/>
        <v>#DIV/0!</v>
      </c>
    </row>
    <row r="23" spans="1:20" ht="42.75" thickBot="1">
      <c r="A23" s="329" t="s">
        <v>457</v>
      </c>
      <c r="B23" s="330" t="s">
        <v>39</v>
      </c>
      <c r="C23" s="290">
        <f>เป้าหมายคุณภาพ!C23</f>
        <v>0</v>
      </c>
      <c r="D23" s="915"/>
      <c r="E23" s="916"/>
      <c r="F23" s="916"/>
      <c r="G23" s="916"/>
      <c r="H23" s="916"/>
      <c r="I23" s="916"/>
      <c r="J23" s="916"/>
      <c r="K23" s="916"/>
      <c r="L23" s="917"/>
      <c r="M23" s="335">
        <f>IF('2-2'!G6="ไม่ประเมิน","",'2-2'!F14)</f>
        <v>0</v>
      </c>
      <c r="N23" s="332">
        <f>IF('2-2'!G6="ไม่ประเมิน","",'2-2'!F13)</f>
        <v>0</v>
      </c>
      <c r="O23" s="333" t="e">
        <f>IF('2-2'!G6="ไม่ประเมิน","",M23/N23)</f>
        <v>#DIV/0!</v>
      </c>
      <c r="P23" s="293" t="e">
        <f t="shared" si="1"/>
        <v>#DIV/0!</v>
      </c>
      <c r="Q23" s="334" t="e">
        <f>IF(O23="","",O23)</f>
        <v>#DIV/0!</v>
      </c>
      <c r="R23" s="631" t="e">
        <f t="shared" si="2"/>
        <v>#DIV/0!</v>
      </c>
    </row>
    <row r="24" spans="1:20" ht="42.75" thickBot="1">
      <c r="A24" s="591" t="s">
        <v>580</v>
      </c>
      <c r="B24" s="330" t="s">
        <v>5</v>
      </c>
      <c r="C24" s="290">
        <f>เป้าหมายคุณภาพ!C24</f>
        <v>0</v>
      </c>
      <c r="D24" s="592"/>
      <c r="E24" s="593"/>
      <c r="F24" s="593"/>
      <c r="G24" s="593"/>
      <c r="H24" s="593"/>
      <c r="I24" s="593"/>
      <c r="J24" s="593"/>
      <c r="K24" s="593"/>
      <c r="L24" s="594"/>
      <c r="M24" s="332">
        <f>IF('2-3'!G6="ไม่ประเมิน","",'2-3'!F12)</f>
        <v>0</v>
      </c>
      <c r="N24" s="332">
        <f>IF('2-3'!G6="ไม่ประเมิน","",'2-3'!F13)</f>
        <v>0</v>
      </c>
      <c r="O24" s="333" t="e">
        <f>IF('2-3'!G6="ไม่ประเมิน","",M24*100/N24)</f>
        <v>#DIV/0!</v>
      </c>
      <c r="P24" s="293" t="e">
        <f t="shared" si="1"/>
        <v>#DIV/0!</v>
      </c>
      <c r="Q24" s="334" t="e">
        <f>IF(O24="","",IF(O24&gt;=25,5,ROUND(O24*5/25,2)))</f>
        <v>#DIV/0!</v>
      </c>
      <c r="R24" s="631" t="e">
        <f t="shared" si="2"/>
        <v>#DIV/0!</v>
      </c>
    </row>
    <row r="25" spans="1:20" ht="42.75" thickBot="1">
      <c r="A25" s="591" t="s">
        <v>458</v>
      </c>
      <c r="B25" s="330" t="s">
        <v>5</v>
      </c>
      <c r="C25" s="290">
        <f>เป้าหมายคุณภาพ!C25</f>
        <v>0</v>
      </c>
      <c r="D25" s="592"/>
      <c r="E25" s="593"/>
      <c r="F25" s="593"/>
      <c r="G25" s="593"/>
      <c r="H25" s="593"/>
      <c r="I25" s="593"/>
      <c r="J25" s="593"/>
      <c r="K25" s="593"/>
      <c r="L25" s="594"/>
      <c r="M25" s="332">
        <f>IF('2-4'!G6="ไม่ประเมิน","",'2-4'!F12)</f>
        <v>0</v>
      </c>
      <c r="N25" s="332">
        <f>IF('2-4'!G6="ไม่ประเมิน","",'2-4'!F11)</f>
        <v>0</v>
      </c>
      <c r="O25" s="333" t="e">
        <f>IF('2-4'!G6="ไม่ประเมิน","",M25*100/N25)</f>
        <v>#DIV/0!</v>
      </c>
      <c r="P25" s="293" t="e">
        <f t="shared" si="1"/>
        <v>#DIV/0!</v>
      </c>
      <c r="Q25" s="334" t="e">
        <f>IF(O25="","",IF(O25&gt;=50,5,ROUND(O25*5/50,2)))</f>
        <v>#DIV/0!</v>
      </c>
      <c r="R25" s="631" t="e">
        <f t="shared" si="2"/>
        <v>#DIV/0!</v>
      </c>
    </row>
    <row r="26" spans="1:20" ht="21.75" thickBot="1">
      <c r="A26" s="288" t="s">
        <v>460</v>
      </c>
      <c r="B26" s="289" t="s">
        <v>461</v>
      </c>
      <c r="C26" s="290">
        <f>เป้าหมายคุณภาพ!C26</f>
        <v>0</v>
      </c>
      <c r="D26" s="915"/>
      <c r="E26" s="916"/>
      <c r="F26" s="916"/>
      <c r="G26" s="916"/>
      <c r="H26" s="916"/>
      <c r="I26" s="916"/>
      <c r="J26" s="916"/>
      <c r="K26" s="916"/>
      <c r="L26" s="917"/>
      <c r="M26" s="412">
        <f>IF('2-14'!G6="ไม่ประเมิน","",'2-14'!F12)</f>
        <v>0</v>
      </c>
      <c r="N26" s="412">
        <f>IF('2-14'!G6="ไม่ประเมิน","",'2-14'!F11)</f>
        <v>0</v>
      </c>
      <c r="O26" s="304" t="e">
        <f>IF('2-14'!G6="ไม่ประเมิน","",M26/N26)</f>
        <v>#DIV/0!</v>
      </c>
      <c r="P26" s="298" t="e">
        <f t="shared" si="1"/>
        <v>#DIV/0!</v>
      </c>
      <c r="Q26" s="324" t="e">
        <f>IF(O26="","",IF(O26&gt;=6,5,IF(O26,(O26*5)/6,0)))</f>
        <v>#DIV/0!</v>
      </c>
      <c r="R26" s="631" t="e">
        <f t="shared" si="2"/>
        <v>#DIV/0!</v>
      </c>
    </row>
    <row r="27" spans="1:20" ht="21.75" hidden="1" thickBot="1">
      <c r="A27" s="306" t="s">
        <v>581</v>
      </c>
      <c r="B27" s="307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10"/>
      <c r="N27" s="310"/>
      <c r="O27" s="310"/>
      <c r="P27" s="311"/>
      <c r="Q27" s="286">
        <f>AVERAGE(Q28:Q29)</f>
        <v>0</v>
      </c>
      <c r="R27" s="637" t="str">
        <f>IF(Q27&gt;4.5,"ระดับดีมาก",IF(Q27&gt;3.5,"ระดับดี",IF(Q27&gt;2.5,"ระดับพอใช้",IF(Q27&gt;1.5,"ต้องปรับปรุง",IF(Q27&gt;=0,"ต้องปรับปรุงเร่งด่วน")))))</f>
        <v>ต้องปรับปรุงเร่งด่วน</v>
      </c>
    </row>
    <row r="28" spans="1:20" ht="21.75" hidden="1" thickBot="1">
      <c r="A28" s="313" t="s">
        <v>582</v>
      </c>
      <c r="B28" s="314" t="s">
        <v>40</v>
      </c>
      <c r="C28" s="336">
        <f>เป้าหมายคุณภาพ!C28</f>
        <v>0</v>
      </c>
      <c r="D28" s="340">
        <f>'3.1'!T10</f>
        <v>0</v>
      </c>
      <c r="E28" s="340">
        <f>'3.1'!U10</f>
        <v>0</v>
      </c>
      <c r="F28" s="340">
        <f>'3.1'!V10</f>
        <v>0</v>
      </c>
      <c r="G28" s="340">
        <f>'3.1'!W10</f>
        <v>0</v>
      </c>
      <c r="H28" s="340">
        <f>'3.1'!X10</f>
        <v>0</v>
      </c>
      <c r="I28" s="340">
        <f>'3.1'!Y10</f>
        <v>0</v>
      </c>
      <c r="J28" s="340">
        <f>'3.1'!Z10</f>
        <v>0</v>
      </c>
      <c r="K28" s="331"/>
      <c r="L28" s="331"/>
      <c r="M28" s="297">
        <f>IF('3.1'!G6="ไม่ประเมิน","",(D28+E28+F28+G28+H28+I28+J28))</f>
        <v>0</v>
      </c>
      <c r="N28" s="297"/>
      <c r="O28" s="297">
        <f>M28</f>
        <v>0</v>
      </c>
      <c r="P28" s="298" t="str">
        <f>IF(O28="","",IF(O28 &gt;=C28,"ü",IF(O28&lt;C28,"û")))</f>
        <v>ü</v>
      </c>
      <c r="Q28" s="297">
        <f>IF(O28="","",IF(O28&gt;6,5,IF(O28&gt;5,4,IF(O28&gt;3,3,IF(O28&gt;1,2,IF(O28&gt;0,1,0))))))</f>
        <v>0</v>
      </c>
      <c r="R28" s="633" t="str">
        <f>IF(Q28="","ไม่รับการประเมิน","")</f>
        <v/>
      </c>
    </row>
    <row r="29" spans="1:20" ht="26.25" hidden="1" customHeight="1" thickBot="1">
      <c r="A29" s="313" t="s">
        <v>583</v>
      </c>
      <c r="B29" s="314" t="s">
        <v>40</v>
      </c>
      <c r="C29" s="336">
        <f>เป้าหมายคุณภาพ!C29</f>
        <v>0</v>
      </c>
      <c r="D29" s="327">
        <f>'3.2'!T10</f>
        <v>0</v>
      </c>
      <c r="E29" s="327">
        <f>'3.2'!U10</f>
        <v>0</v>
      </c>
      <c r="F29" s="327">
        <f>'3.2'!V10</f>
        <v>0</v>
      </c>
      <c r="G29" s="327">
        <f>'3.2'!W10</f>
        <v>0</v>
      </c>
      <c r="H29" s="327">
        <f>'3.2'!X10</f>
        <v>0</v>
      </c>
      <c r="I29" s="327">
        <f>'3.2'!Y10</f>
        <v>0</v>
      </c>
      <c r="J29" s="328"/>
      <c r="K29" s="328"/>
      <c r="L29" s="328"/>
      <c r="M29" s="292">
        <f>IF('3.2'!G6="ไม่ประเมิน","",(D29+E29+F29+G29+H29+I29))</f>
        <v>0</v>
      </c>
      <c r="N29" s="292"/>
      <c r="O29" s="292">
        <f>M29</f>
        <v>0</v>
      </c>
      <c r="P29" s="293" t="str">
        <f>IF(O29="","",IF(O29 &gt;=C29,"ü",IF(O29&lt;C29,"û")))</f>
        <v>ü</v>
      </c>
      <c r="Q29" s="292">
        <f>IF(O29="","",IF(O29&gt;5,5,IF(O29&gt;4,4,IF(O29&gt;2,3,IF(O29&gt;1,2,IF(O29&gt;0,1,0))))))</f>
        <v>0</v>
      </c>
      <c r="R29" s="633" t="str">
        <f>IF(Q29="","ไม่รับการประเมิน","")</f>
        <v/>
      </c>
    </row>
    <row r="30" spans="1:20" ht="21.75" thickBot="1">
      <c r="A30" s="341" t="s">
        <v>462</v>
      </c>
      <c r="B30" s="307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10"/>
      <c r="N30" s="310"/>
      <c r="O30" s="310"/>
      <c r="P30" s="311"/>
      <c r="Q30" s="286" t="e">
        <f>AVERAGE(Q31:Q36)</f>
        <v>#DIV/0!</v>
      </c>
      <c r="R30" s="637" t="e">
        <f>IF(Q30&gt;4.5,"ระดับดีมาก",IF(Q30&gt;3.5,"ระดับดี",IF(Q30&gt;2.5,"ระดับพอใช้",IF(Q30&gt;1.5,"ต้องปรับปรุง",IF(Q30&gt;=0,"ต้องปรับปรุงเร่งด่วน")))))</f>
        <v>#DIV/0!</v>
      </c>
      <c r="T30" s="348"/>
    </row>
    <row r="31" spans="1:20" ht="22.5" hidden="1" customHeight="1" thickBot="1">
      <c r="A31" s="313" t="s">
        <v>584</v>
      </c>
      <c r="B31" s="314" t="s">
        <v>40</v>
      </c>
      <c r="C31" s="326">
        <f>เป้าหมายคุณภาพ!C31</f>
        <v>0</v>
      </c>
      <c r="D31" s="327">
        <f>'4.1'!T10</f>
        <v>0</v>
      </c>
      <c r="E31" s="327">
        <f>'4.1'!U10</f>
        <v>0</v>
      </c>
      <c r="F31" s="327">
        <f>'4.1'!V10</f>
        <v>0</v>
      </c>
      <c r="G31" s="327">
        <f>'4.1'!W10</f>
        <v>0</v>
      </c>
      <c r="H31" s="327">
        <f>'4.1'!X10</f>
        <v>0</v>
      </c>
      <c r="I31" s="327">
        <f>'4.1'!Y10</f>
        <v>0</v>
      </c>
      <c r="J31" s="327">
        <f>'4.1'!Z10</f>
        <v>0</v>
      </c>
      <c r="K31" s="327">
        <f>'4.1'!AA10</f>
        <v>0</v>
      </c>
      <c r="L31" s="328"/>
      <c r="M31" s="297">
        <f>IF('4.1'!G6="ไม่ประเมิน","",(D31+E31+F31+G31+H31+I31+J31+K31))</f>
        <v>0</v>
      </c>
      <c r="N31" s="297"/>
      <c r="O31" s="297">
        <f>IF(SUM(D31:J31)=5,SUM(D31:K31),SUM(D31:J31))</f>
        <v>0</v>
      </c>
      <c r="P31" s="298" t="str">
        <f t="shared" ref="P31:P36" si="3">IF(O31="","",IF(O31 &gt;=C31,"ü",IF(O31&lt;C31,"û")))</f>
        <v>ü</v>
      </c>
      <c r="Q31" s="297">
        <f>IF(O31="","",IF(O31&gt;7,5,IF(O31&gt;5,4,IF(O31&gt;3,3,IF(O31&gt;1,2,IF(O31&gt;0,1,0))))))</f>
        <v>0</v>
      </c>
      <c r="R31" s="628" t="str">
        <f>IF(Q31="","ไม่รับการประเมิน","")</f>
        <v/>
      </c>
    </row>
    <row r="32" spans="1:20" ht="21.75" hidden="1" customHeight="1" thickBot="1">
      <c r="A32" s="313" t="s">
        <v>585</v>
      </c>
      <c r="B32" s="314" t="s">
        <v>40</v>
      </c>
      <c r="C32" s="326">
        <f>เป้าหมายคุณภาพ!C32</f>
        <v>0</v>
      </c>
      <c r="D32" s="340">
        <f>'4.2'!T10</f>
        <v>0</v>
      </c>
      <c r="E32" s="340">
        <f>'4.2'!U10</f>
        <v>0</v>
      </c>
      <c r="F32" s="340">
        <f>'4.2'!V10</f>
        <v>0</v>
      </c>
      <c r="G32" s="340">
        <f>'4.2'!W10</f>
        <v>0</v>
      </c>
      <c r="H32" s="340">
        <f>'4.2'!X10</f>
        <v>0</v>
      </c>
      <c r="I32" s="331"/>
      <c r="J32" s="331"/>
      <c r="K32" s="331"/>
      <c r="L32" s="331"/>
      <c r="M32" s="297">
        <f>IF('4.2'!G6="ไม่ประเมิน","",(D32+E32+F32+G32+H32))</f>
        <v>0</v>
      </c>
      <c r="N32" s="297"/>
      <c r="O32" s="297">
        <f>M32</f>
        <v>0</v>
      </c>
      <c r="P32" s="298" t="str">
        <f t="shared" si="3"/>
        <v>ü</v>
      </c>
      <c r="Q32" s="297">
        <f>IF(O32="","",IF(O32&gt;4,5,IF(O32&gt;3,4,IF(O32&gt;2,3,IF(O32&gt;1,2,IF(O32&gt;0,1,0))))))</f>
        <v>0</v>
      </c>
      <c r="R32" s="628" t="str">
        <f t="shared" ref="R32:R36" si="4">IF(Q32="","ไม่รับการประเมิน","")</f>
        <v/>
      </c>
    </row>
    <row r="33" spans="1:19" ht="19.5" customHeight="1" thickBot="1">
      <c r="A33" s="342" t="s">
        <v>463</v>
      </c>
      <c r="B33" s="343" t="s">
        <v>39</v>
      </c>
      <c r="C33" s="326">
        <f>เป้าหมายคุณภาพ!C33</f>
        <v>0</v>
      </c>
      <c r="D33" s="918"/>
      <c r="E33" s="919"/>
      <c r="F33" s="919"/>
      <c r="G33" s="919"/>
      <c r="H33" s="919"/>
      <c r="I33" s="919"/>
      <c r="J33" s="919"/>
      <c r="K33" s="919"/>
      <c r="L33" s="920"/>
      <c r="M33" s="345">
        <f>IF('4.3'!G6="ไม่ประเมิน","",'4.3'!F16)</f>
        <v>0</v>
      </c>
      <c r="N33" s="413">
        <f>IF('4.3'!G6="ไม่ประเมิน","",'4.3'!F12)</f>
        <v>0</v>
      </c>
      <c r="O33" s="346" t="e">
        <f>IF('4.3'!G6="ไม่ประเมิน","",M33/N33)</f>
        <v>#DIV/0!</v>
      </c>
      <c r="P33" s="293" t="e">
        <f t="shared" si="3"/>
        <v>#DIV/0!</v>
      </c>
      <c r="Q33" s="347" t="e">
        <f>IF(O33="","",IF(O33&gt;=S33,5,IF(O33,(O33*5)/S33,0)))</f>
        <v>#DIV/0!</v>
      </c>
      <c r="R33" s="628" t="e">
        <f t="shared" si="4"/>
        <v>#DIV/0!</v>
      </c>
      <c r="S33" s="436">
        <f>IF(S2="กลุ่มสาขาวิชาวิทยาศาสตร์และเทคโนโลยี",60000,25000)</f>
        <v>25000</v>
      </c>
    </row>
    <row r="34" spans="1:19" ht="21.75" thickBot="1">
      <c r="A34" s="313" t="s">
        <v>464</v>
      </c>
      <c r="B34" s="314" t="s">
        <v>39</v>
      </c>
      <c r="C34" s="326">
        <f>เป้าหมายคุณภาพ!C34</f>
        <v>0</v>
      </c>
      <c r="D34" s="915"/>
      <c r="E34" s="916"/>
      <c r="F34" s="916"/>
      <c r="G34" s="916"/>
      <c r="H34" s="916"/>
      <c r="I34" s="916"/>
      <c r="J34" s="916"/>
      <c r="K34" s="916"/>
      <c r="L34" s="917"/>
      <c r="M34" s="337">
        <f>IF('4-5'!G6="ไม่ประเมิน","",'4-5'!F16)</f>
        <v>0</v>
      </c>
      <c r="N34" s="337">
        <f>IF('4-5'!G6="ไม่ประเมิน","",'4-5'!F12)</f>
        <v>0</v>
      </c>
      <c r="O34" s="349" t="e">
        <f>IF('4-5'!G6="ไม่ประเมิน","",(M34/N34)*100)</f>
        <v>#DIV/0!</v>
      </c>
      <c r="P34" s="298" t="e">
        <f t="shared" si="3"/>
        <v>#DIV/0!</v>
      </c>
      <c r="Q34" s="305" t="e">
        <f>IF(O34="","",IF(O34&gt;=S34,5,IF(O34,(O34*5)/S34,0)))</f>
        <v>#DIV/0!</v>
      </c>
      <c r="R34" s="628" t="e">
        <f t="shared" si="4"/>
        <v>#DIV/0!</v>
      </c>
      <c r="S34" s="436">
        <f>IF(S2="กลุ่มสาขาวิชาวิทยาศาสตร์และเทคโนโลยี",20,10)</f>
        <v>10</v>
      </c>
    </row>
    <row r="35" spans="1:19" ht="21.75" thickBot="1">
      <c r="A35" s="313" t="s">
        <v>465</v>
      </c>
      <c r="B35" s="314" t="s">
        <v>5</v>
      </c>
      <c r="C35" s="326">
        <f>เป้าหมายคุณภาพ!C35</f>
        <v>0</v>
      </c>
      <c r="D35" s="915"/>
      <c r="E35" s="916"/>
      <c r="F35" s="916"/>
      <c r="G35" s="916"/>
      <c r="H35" s="916"/>
      <c r="I35" s="916"/>
      <c r="J35" s="916"/>
      <c r="K35" s="916"/>
      <c r="L35" s="917"/>
      <c r="M35" s="337">
        <f>IF('4-6'!G6="ไม่ประเมิน","",'4-6'!F13)</f>
        <v>0</v>
      </c>
      <c r="N35" s="337">
        <f>IF('4-6'!G6="ไม่ประเมิน","",'4-6'!F12)</f>
        <v>0</v>
      </c>
      <c r="O35" s="349" t="e">
        <f>IF('4-6'!G6="ไม่ประเมิน","",(M35*100)/N35)</f>
        <v>#DIV/0!</v>
      </c>
      <c r="P35" s="298" t="e">
        <f t="shared" si="3"/>
        <v>#DIV/0!</v>
      </c>
      <c r="Q35" s="305" t="e">
        <f>IF(O35="","",IF(O35&gt;=20,5,IF(O35,(O35*5)/20,0)))</f>
        <v>#DIV/0!</v>
      </c>
      <c r="R35" s="628" t="e">
        <f t="shared" si="4"/>
        <v>#DIV/0!</v>
      </c>
    </row>
    <row r="36" spans="1:19" ht="21.75" thickBot="1">
      <c r="A36" s="313" t="s">
        <v>466</v>
      </c>
      <c r="B36" s="314" t="s">
        <v>5</v>
      </c>
      <c r="C36" s="326">
        <f>เป้าหมายคุณภาพ!C36</f>
        <v>0</v>
      </c>
      <c r="D36" s="915"/>
      <c r="E36" s="916"/>
      <c r="F36" s="916"/>
      <c r="G36" s="916"/>
      <c r="H36" s="916"/>
      <c r="I36" s="916"/>
      <c r="J36" s="916"/>
      <c r="K36" s="916"/>
      <c r="L36" s="917"/>
      <c r="M36" s="412">
        <f>IF('4-7'!G6="ไม่ประเมิน","",'4-7'!F13)</f>
        <v>0</v>
      </c>
      <c r="N36" s="337">
        <f>IF('4-7'!G6="ไม่ประเมิน","",'4-7'!F12)</f>
        <v>0</v>
      </c>
      <c r="O36" s="349" t="e">
        <f>IF('4-7'!G6="ไม่ประเมิน","",(M36/N36)*100)</f>
        <v>#DIV/0!</v>
      </c>
      <c r="P36" s="298" t="e">
        <f t="shared" si="3"/>
        <v>#DIV/0!</v>
      </c>
      <c r="Q36" s="305" t="e">
        <f>IF(O36="","",IF(O36&gt;=10,5,IF(O36,(O36*5)/10,0)))</f>
        <v>#DIV/0!</v>
      </c>
      <c r="R36" s="628" t="e">
        <f t="shared" si="4"/>
        <v>#DIV/0!</v>
      </c>
    </row>
    <row r="37" spans="1:19" ht="21.75" thickBot="1">
      <c r="A37" s="306" t="s">
        <v>467</v>
      </c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10"/>
      <c r="N37" s="310"/>
      <c r="O37" s="310"/>
      <c r="P37" s="311"/>
      <c r="Q37" s="286">
        <f>AVERAGE(Q38:Q43)</f>
        <v>0</v>
      </c>
      <c r="R37" s="637" t="str">
        <f>IF(Q37&gt;4.5,"ระดับดีมาก",IF(Q37&gt;3.5,"ระดับดี",IF(Q37&gt;2.5,"ระดับพอใช้",IF(Q37&gt;1.5,"ต้องปรับปรุง",IF(Q37&gt;=0,"ต้องปรับปรุงเร่งด่วน")))))</f>
        <v>ต้องปรับปรุงเร่งด่วน</v>
      </c>
    </row>
    <row r="38" spans="1:19" ht="21.75" hidden="1" thickBot="1">
      <c r="A38" s="313" t="s">
        <v>586</v>
      </c>
      <c r="B38" s="314" t="s">
        <v>40</v>
      </c>
      <c r="C38" s="336">
        <f>เป้าหมายคุณภาพ!C38</f>
        <v>0</v>
      </c>
      <c r="D38" s="340">
        <f>'5.1'!T10</f>
        <v>0</v>
      </c>
      <c r="E38" s="340">
        <f>'5.1'!U10</f>
        <v>0</v>
      </c>
      <c r="F38" s="340">
        <f>'5.1'!V10</f>
        <v>0</v>
      </c>
      <c r="G38" s="340">
        <f>'5.1'!W10</f>
        <v>0</v>
      </c>
      <c r="H38" s="340">
        <f>'5.1'!X10</f>
        <v>0</v>
      </c>
      <c r="I38" s="331"/>
      <c r="J38" s="331"/>
      <c r="K38" s="331"/>
      <c r="L38" s="331"/>
      <c r="M38" s="297">
        <f>IF('5.1'!G6="ไม่ประเมิน","",(D38+E38+F38+G38+H38))</f>
        <v>0</v>
      </c>
      <c r="N38" s="297"/>
      <c r="O38" s="297">
        <f>M38</f>
        <v>0</v>
      </c>
      <c r="P38" s="298" t="str">
        <f>IF(O38="","",IF(O38 &gt;=C38,"ü",IF(O38&lt;C38,"û")))</f>
        <v>ü</v>
      </c>
      <c r="Q38" s="297">
        <f>IF(O38="","",IF(O38&gt;4,5,IF(O38&gt;3,4,IF(O38&gt;2,3,IF(O38&gt;1,2,IF(O38&gt;0,1,0))))))</f>
        <v>0</v>
      </c>
      <c r="R38" s="628" t="str">
        <f>IF(Q38="","ไม่รับการประเมิน","")</f>
        <v/>
      </c>
    </row>
    <row r="39" spans="1:19" ht="21.75" hidden="1" thickBot="1">
      <c r="A39" s="313" t="s">
        <v>587</v>
      </c>
      <c r="B39" s="314" t="s">
        <v>40</v>
      </c>
      <c r="C39" s="336">
        <f>เป้าหมายคุณภาพ!C39</f>
        <v>0</v>
      </c>
      <c r="D39" s="340">
        <f>'5.2'!T10</f>
        <v>0</v>
      </c>
      <c r="E39" s="340">
        <f>'5.2'!U10</f>
        <v>0</v>
      </c>
      <c r="F39" s="340">
        <f>'5.2'!V10</f>
        <v>0</v>
      </c>
      <c r="G39" s="340">
        <f>'5.2'!W10</f>
        <v>0</v>
      </c>
      <c r="H39" s="340">
        <f>'5.2'!X10</f>
        <v>0</v>
      </c>
      <c r="I39" s="331"/>
      <c r="J39" s="331"/>
      <c r="K39" s="331"/>
      <c r="L39" s="331"/>
      <c r="M39" s="297">
        <f>IF('5.2'!G6="ไม่ประเมิน","",(D39+E39+F39+G39+H39))</f>
        <v>0</v>
      </c>
      <c r="N39" s="297"/>
      <c r="O39" s="297">
        <f>M39</f>
        <v>0</v>
      </c>
      <c r="P39" s="298" t="str">
        <f>IF(O39="","",IF(O39 &gt;=C39,"ü",IF(O39&lt;C39,"û")))</f>
        <v>ü</v>
      </c>
      <c r="Q39" s="297">
        <f>IF(O39="","",IF(O39&gt;4,5,IF(O39&gt;3,4,IF(O39&gt;2,3,IF(O39&gt;1,2,IF(O39&gt;0,1,0))))))</f>
        <v>0</v>
      </c>
      <c r="R39" s="628" t="str">
        <f t="shared" ref="R39:R43" si="5">IF(Q39="","ไม่รับการประเมิน","")</f>
        <v/>
      </c>
    </row>
    <row r="40" spans="1:19" ht="42.75" thickBot="1">
      <c r="A40" s="295" t="s">
        <v>468</v>
      </c>
      <c r="B40" s="330" t="s">
        <v>5</v>
      </c>
      <c r="C40" s="336">
        <f>เป้าหมายคุณภาพ!C40</f>
        <v>0</v>
      </c>
      <c r="D40" s="915"/>
      <c r="E40" s="916"/>
      <c r="F40" s="916"/>
      <c r="G40" s="916"/>
      <c r="H40" s="916"/>
      <c r="I40" s="916"/>
      <c r="J40" s="916"/>
      <c r="K40" s="916"/>
      <c r="L40" s="917"/>
      <c r="M40" s="332" t="str">
        <f>IF('5-8'!G6="ไม่ประเมิน","",'5-8'!F13)</f>
        <v>No 2 legs</v>
      </c>
      <c r="N40" s="335">
        <f>IF('5-8'!G6="ไม่ประเมิน","",'5-8'!F12)</f>
        <v>0</v>
      </c>
      <c r="O40" s="333">
        <f>IF('5-8'!G6="ไม่ประเมิน","",IF(M40="No 2 legs",0,(M40/N40)*100))</f>
        <v>0</v>
      </c>
      <c r="P40" s="293" t="str">
        <f>IF(O40="","",IF(O40 &gt;=C40,"ü",IF(O40&lt;C40,"û")))</f>
        <v>ü</v>
      </c>
      <c r="Q40" s="347">
        <f>IF(O40="","",IF(O40&gt;=30,5,IF(O40,(O40*5)/30,0)))</f>
        <v>0</v>
      </c>
      <c r="R40" s="628" t="str">
        <f t="shared" si="5"/>
        <v/>
      </c>
    </row>
    <row r="41" spans="1:19" ht="21" hidden="1" customHeight="1" thickBot="1">
      <c r="A41" s="469" t="s">
        <v>588</v>
      </c>
      <c r="B41" s="470" t="s">
        <v>40</v>
      </c>
      <c r="C41" s="336">
        <f>เป้าหมายคุณภาพ!C41</f>
        <v>0</v>
      </c>
      <c r="D41" s="472">
        <f>'5-9'!T10</f>
        <v>0</v>
      </c>
      <c r="E41" s="472">
        <f>'5-9'!U10</f>
        <v>0</v>
      </c>
      <c r="F41" s="472">
        <f>'5-9'!V10</f>
        <v>0</v>
      </c>
      <c r="G41" s="472">
        <f>'5-9'!W10</f>
        <v>0</v>
      </c>
      <c r="H41" s="472">
        <f>'5-9'!X10</f>
        <v>0</v>
      </c>
      <c r="I41" s="473"/>
      <c r="J41" s="473"/>
      <c r="K41" s="473"/>
      <c r="L41" s="473"/>
      <c r="M41" s="474">
        <f>(D41+E41+F41+G41+H41)</f>
        <v>0</v>
      </c>
      <c r="N41" s="474"/>
      <c r="O41" s="474">
        <f>M41</f>
        <v>0</v>
      </c>
      <c r="P41" s="475" t="str">
        <f t="shared" ref="P41" si="6">IF(O41 &gt;=C41,"ü",IF(O41&lt;C41,"û"))</f>
        <v>ü</v>
      </c>
      <c r="Q41" s="476">
        <f>IF(O41&gt;4,5,IF(O41&gt;3,4,IF(O41&gt;2,3,IF(O41&gt;1,2,IF(O41&gt;0,1,0)))))</f>
        <v>0</v>
      </c>
      <c r="R41" s="628" t="str">
        <f t="shared" si="5"/>
        <v/>
      </c>
    </row>
    <row r="42" spans="1:19" ht="21.75" hidden="1" thickBot="1">
      <c r="A42" s="295" t="s">
        <v>589</v>
      </c>
      <c r="B42" s="470" t="s">
        <v>40</v>
      </c>
      <c r="C42" s="336">
        <f>เป้าหมายคุณภาพ!C42</f>
        <v>0</v>
      </c>
      <c r="D42" s="477">
        <f>'5-18.1'!T10</f>
        <v>0</v>
      </c>
      <c r="E42" s="477">
        <f>'5-18.1'!U10</f>
        <v>0</v>
      </c>
      <c r="F42" s="477">
        <f>'5-18.1'!V10</f>
        <v>0</v>
      </c>
      <c r="G42" s="477">
        <f>'5-18.1'!W10</f>
        <v>0</v>
      </c>
      <c r="H42" s="477">
        <f>'5-18.1'!X10</f>
        <v>0</v>
      </c>
      <c r="I42" s="478"/>
      <c r="J42" s="478"/>
      <c r="K42" s="478"/>
      <c r="L42" s="479"/>
      <c r="M42" s="480">
        <f>IF('5-18.1'!G6="ไม่ประเมิน","",(D42+E42+F42+G42+H42))</f>
        <v>0</v>
      </c>
      <c r="N42" s="480"/>
      <c r="O42" s="297">
        <f>M42</f>
        <v>0</v>
      </c>
      <c r="P42" s="298" t="str">
        <f>IF(O42="","",IF(O42 &gt;=C42,"ü",IF(O42&lt;C42,"û")))</f>
        <v>ü</v>
      </c>
      <c r="Q42" s="297">
        <f>IF(O42="","",IF(O42=5,5,IF(O42=4,4,IF(O42=3,3,IF(58=2,2,IF(O42&gt;0,1,0))))))</f>
        <v>0</v>
      </c>
      <c r="R42" s="628" t="str">
        <f t="shared" si="5"/>
        <v/>
      </c>
    </row>
    <row r="43" spans="1:19" ht="21.75" hidden="1" thickBot="1">
      <c r="A43" s="295" t="s">
        <v>590</v>
      </c>
      <c r="B43" s="470" t="s">
        <v>40</v>
      </c>
      <c r="C43" s="336">
        <f>เป้าหมายคุณภาพ!C43</f>
        <v>0</v>
      </c>
      <c r="D43" s="477">
        <f>'5-18.2'!T10</f>
        <v>0</v>
      </c>
      <c r="E43" s="477">
        <f>'5-18.2'!U10</f>
        <v>0</v>
      </c>
      <c r="F43" s="477">
        <f>'5-18.2'!V10</f>
        <v>0</v>
      </c>
      <c r="G43" s="477">
        <f>'5-18.2'!W10</f>
        <v>0</v>
      </c>
      <c r="H43" s="477">
        <f>'5-18.2'!X10</f>
        <v>0</v>
      </c>
      <c r="I43" s="478"/>
      <c r="J43" s="478"/>
      <c r="K43" s="478"/>
      <c r="L43" s="479"/>
      <c r="M43" s="480">
        <f>IF('5-18.2'!G6="ไม่ประเมิน","",(D43+E43+F43+G43+H43))</f>
        <v>0</v>
      </c>
      <c r="N43" s="480"/>
      <c r="O43" s="297">
        <f>M43</f>
        <v>0</v>
      </c>
      <c r="P43" s="298" t="str">
        <f>IF(O43="","",IF(O43 &gt;=C43,"ü",IF(O43&lt;C43,"û")))</f>
        <v>ü</v>
      </c>
      <c r="Q43" s="297">
        <f>IF(O43="","",IF(O43=5,5,IF(O43=4,4,IF(O43=3,3,IF(58=2,2,IF(O43&gt;0,1,0))))))</f>
        <v>0</v>
      </c>
      <c r="R43" s="628" t="str">
        <f t="shared" si="5"/>
        <v/>
      </c>
    </row>
    <row r="44" spans="1:19" ht="21.75" hidden="1" thickBot="1">
      <c r="A44" s="306" t="s">
        <v>591</v>
      </c>
      <c r="B44" s="307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467"/>
      <c r="N44" s="467"/>
      <c r="O44" s="467"/>
      <c r="P44" s="466"/>
      <c r="Q44" s="286">
        <f>AVERAGE(Q45:Q47)</f>
        <v>0</v>
      </c>
      <c r="R44" s="638" t="str">
        <f>IF(Q44&gt;4.5,"ระดับดีมาก",IF(Q44&gt;3.5,"ระดับดี",IF(Q44&gt;2.5,"ระดับพอใช้",IF(Q44&gt;1.5,"ต้องปรับปรุง",IF(Q44&gt;=0,"ต้องปรับปรุงเร่งด่วน")))))</f>
        <v>ต้องปรับปรุงเร่งด่วน</v>
      </c>
    </row>
    <row r="45" spans="1:19" ht="21.75" hidden="1" thickBot="1">
      <c r="A45" s="313" t="s">
        <v>592</v>
      </c>
      <c r="B45" s="314" t="s">
        <v>40</v>
      </c>
      <c r="C45" s="336">
        <f>เป้าหมายคุณภาพ!C45</f>
        <v>0</v>
      </c>
      <c r="D45" s="340">
        <f>'6.1'!T10</f>
        <v>0</v>
      </c>
      <c r="E45" s="340">
        <f>'6.1'!U10</f>
        <v>0</v>
      </c>
      <c r="F45" s="340">
        <f>'6.1'!V10</f>
        <v>0</v>
      </c>
      <c r="G45" s="340">
        <f>'6.1'!W10</f>
        <v>0</v>
      </c>
      <c r="H45" s="340">
        <f>'6.1'!X10</f>
        <v>0</v>
      </c>
      <c r="I45" s="340">
        <f>'6.1'!Y10</f>
        <v>0</v>
      </c>
      <c r="J45" s="331"/>
      <c r="K45" s="331"/>
      <c r="L45" s="331"/>
      <c r="M45" s="297">
        <f>IF('6.1'!G6="ไม่ประเมิน","",(D45+E45+F45+G45+H45+I45))</f>
        <v>0</v>
      </c>
      <c r="N45" s="481"/>
      <c r="O45" s="482">
        <f>M45</f>
        <v>0</v>
      </c>
      <c r="P45" s="298" t="str">
        <f>IF(O45="","",IF(O45 &gt;=C45,"ü",IF(O45&lt;C45,"û")))</f>
        <v>ü</v>
      </c>
      <c r="Q45" s="297">
        <f>IF(O45="","",IF(O45&gt;=5,5,IF(O45=4,4,IF(O45=3,3,IF(O45=2,2,IF(O45&gt;0,1,0))))))</f>
        <v>0</v>
      </c>
      <c r="R45" s="628" t="str">
        <f>IF(Q45="","ไม่รับการประเมิน","")</f>
        <v/>
      </c>
    </row>
    <row r="46" spans="1:19" ht="21.75" hidden="1" thickBot="1">
      <c r="A46" s="313" t="s">
        <v>593</v>
      </c>
      <c r="B46" s="314" t="s">
        <v>40</v>
      </c>
      <c r="C46" s="336">
        <f>เป้าหมายคุณภาพ!C46</f>
        <v>0</v>
      </c>
      <c r="D46" s="340">
        <f>'6-10'!T10</f>
        <v>0</v>
      </c>
      <c r="E46" s="340">
        <f>'6-10'!U10</f>
        <v>0</v>
      </c>
      <c r="F46" s="340">
        <f>'6-10'!V10</f>
        <v>0</v>
      </c>
      <c r="G46" s="340">
        <f>'6-10'!W10</f>
        <v>0</v>
      </c>
      <c r="H46" s="340">
        <f>'6-10'!X10</f>
        <v>0</v>
      </c>
      <c r="I46" s="331"/>
      <c r="J46" s="331"/>
      <c r="K46" s="331"/>
      <c r="L46" s="331"/>
      <c r="M46" s="297">
        <f>IF('6-10'!G6="ไม่ประเมิน","",(D46+E46+F46+G46+H46))</f>
        <v>0</v>
      </c>
      <c r="N46" s="297"/>
      <c r="O46" s="482">
        <f>M46</f>
        <v>0</v>
      </c>
      <c r="P46" s="298" t="str">
        <f>IF(O46="","",IF(O46 &gt;=C46,"ü",IF(O46&lt;C46,"û")))</f>
        <v>ü</v>
      </c>
      <c r="Q46" s="297">
        <f>IF(O46="","",IF(O46=5,5,IF(O46=4,4,IF(O46=3,3,IF(O46=2,2,IF(O46&gt;0,1,0))))))</f>
        <v>0</v>
      </c>
      <c r="R46" s="628" t="str">
        <f t="shared" ref="R46:R47" si="7">IF(Q46="","ไม่รับการประเมิน","")</f>
        <v/>
      </c>
    </row>
    <row r="47" spans="1:19" ht="21.75" hidden="1" thickBot="1">
      <c r="A47" s="483" t="s">
        <v>594</v>
      </c>
      <c r="B47" s="314" t="s">
        <v>40</v>
      </c>
      <c r="C47" s="336">
        <f>เป้าหมายคุณภาพ!C47</f>
        <v>0</v>
      </c>
      <c r="D47" s="472">
        <f>'6-11'!T10</f>
        <v>0</v>
      </c>
      <c r="E47" s="472">
        <f>'6-11'!U10</f>
        <v>0</v>
      </c>
      <c r="F47" s="472">
        <f>'6-11'!V10</f>
        <v>0</v>
      </c>
      <c r="G47" s="472">
        <f>'6-11'!W10</f>
        <v>0</v>
      </c>
      <c r="H47" s="472">
        <f>'6-11'!X10</f>
        <v>0</v>
      </c>
      <c r="I47" s="473"/>
      <c r="J47" s="473"/>
      <c r="K47" s="473"/>
      <c r="L47" s="473"/>
      <c r="M47" s="297">
        <f>IF('6-11'!G6="ไม่ประเมิน","",(D47+E47+F47+G47+H47))</f>
        <v>0</v>
      </c>
      <c r="N47" s="484"/>
      <c r="O47" s="482">
        <f>M47</f>
        <v>0</v>
      </c>
      <c r="P47" s="298" t="str">
        <f>IF(O47="","",IF(O47 &gt;=C47,"ü",IF(O47&lt;C47,"û")))</f>
        <v>ü</v>
      </c>
      <c r="Q47" s="297">
        <f>IF(O47="","",IF(O47=5,5,IF(O47=4,4,IF(O47=3,3,IF(O47=2,2,IF(O47&gt;0,1,0))))))</f>
        <v>0</v>
      </c>
      <c r="R47" s="628" t="str">
        <f t="shared" si="7"/>
        <v/>
      </c>
    </row>
    <row r="48" spans="1:19" ht="21.75" hidden="1" thickBot="1">
      <c r="A48" s="306" t="s">
        <v>595</v>
      </c>
      <c r="B48" s="307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10"/>
      <c r="N48" s="310"/>
      <c r="O48" s="310"/>
      <c r="P48" s="311"/>
      <c r="Q48" s="286">
        <f>AVERAGE(Q49:Q55)</f>
        <v>0</v>
      </c>
      <c r="R48" s="637" t="str">
        <f>IF(Q48&gt;4.5,"ระดับดีมาก",IF(Q48&gt;3.5,"ระดับดี",IF(Q48&gt;2.5,"ระดับพอใช้",IF(Q48&gt;1.5,"ต้องปรับปรุง",IF(Q48&gt;=0,"ต้องปรับปรุงเร่งด่วน")))))</f>
        <v>ต้องปรับปรุงเร่งด่วน</v>
      </c>
    </row>
    <row r="49" spans="1:20" ht="21.75" hidden="1" thickBot="1">
      <c r="A49" s="313" t="s">
        <v>596</v>
      </c>
      <c r="B49" s="314" t="s">
        <v>40</v>
      </c>
      <c r="C49" s="336">
        <f>เป้าหมายคุณภาพ!C49</f>
        <v>0</v>
      </c>
      <c r="D49" s="340">
        <f>'7.1'!T10</f>
        <v>0</v>
      </c>
      <c r="E49" s="340">
        <f>'7.1'!U10</f>
        <v>0</v>
      </c>
      <c r="F49" s="340">
        <f>'7.1'!V10</f>
        <v>0</v>
      </c>
      <c r="G49" s="340">
        <f>'7.1'!W10</f>
        <v>0</v>
      </c>
      <c r="H49" s="340">
        <f>'7.1'!X10</f>
        <v>0</v>
      </c>
      <c r="I49" s="340">
        <f>'7.1'!Y10</f>
        <v>0</v>
      </c>
      <c r="J49" s="340">
        <f>'7.1'!Z10</f>
        <v>0</v>
      </c>
      <c r="K49" s="331"/>
      <c r="L49" s="331"/>
      <c r="M49" s="297">
        <f>IF('7.1'!G6="ไม่ประเมิน","",(D49+E49+F49+G49+H49+I49+J49))</f>
        <v>0</v>
      </c>
      <c r="N49" s="297"/>
      <c r="O49" s="297">
        <f>M49</f>
        <v>0</v>
      </c>
      <c r="P49" s="298" t="str">
        <f>IF(O49="","",IF(O49 &gt;=C49,"ü",IF(O49&lt;C49,"û")))</f>
        <v>ü</v>
      </c>
      <c r="Q49" s="297">
        <f>IF(O49="","",IF(O49&gt;6,5,IF(O49&gt;5,4,IF(O49&gt;3,3,IF(O49&gt;1,2,IF(O49&gt;0,1,0))))))</f>
        <v>0</v>
      </c>
      <c r="R49" s="628" t="str">
        <f>IF(Q49="","ไม่รับการประเมิน","")</f>
        <v/>
      </c>
    </row>
    <row r="50" spans="1:20" ht="21" hidden="1" customHeight="1" thickBot="1">
      <c r="A50" s="313" t="s">
        <v>597</v>
      </c>
      <c r="B50" s="314" t="s">
        <v>40</v>
      </c>
      <c r="C50" s="336">
        <f>เป้าหมายคุณภาพ!C50</f>
        <v>0</v>
      </c>
      <c r="D50" s="340">
        <f>'7.2'!T10</f>
        <v>0</v>
      </c>
      <c r="E50" s="340">
        <f>'7.2'!U10</f>
        <v>0</v>
      </c>
      <c r="F50" s="340">
        <f>'7.2'!V10</f>
        <v>0</v>
      </c>
      <c r="G50" s="340">
        <f>'7.2'!W10</f>
        <v>0</v>
      </c>
      <c r="H50" s="340">
        <f>'7.2'!X10</f>
        <v>0</v>
      </c>
      <c r="I50" s="331"/>
      <c r="J50" s="331"/>
      <c r="K50" s="331"/>
      <c r="L50" s="331"/>
      <c r="M50" s="297">
        <f>IF('7.2'!G6="ไม่ประเมิน","",(D50+E50+F50+G50+H50))</f>
        <v>0</v>
      </c>
      <c r="N50" s="297"/>
      <c r="O50" s="297">
        <f>M50</f>
        <v>0</v>
      </c>
      <c r="P50" s="298" t="str">
        <f>IF(O50="","",IF(O50 &gt;=C50,"ü",IF(O50&lt;C50,"û")))</f>
        <v>ü</v>
      </c>
      <c r="Q50" s="297">
        <f>IF(O50="","",IF(O50&gt;4,5,IF(O50&gt;3,4,IF(O50&gt;2,3,IF(O50&gt;1,2,IF(O50&gt;0,1,0))))))</f>
        <v>0</v>
      </c>
      <c r="R50" s="628" t="str">
        <f t="shared" ref="R50:R55" si="8">IF(Q50="","ไม่รับการประเมิน","")</f>
        <v/>
      </c>
    </row>
    <row r="51" spans="1:20" ht="21.75" hidden="1" thickBot="1">
      <c r="A51" s="313" t="s">
        <v>598</v>
      </c>
      <c r="B51" s="314" t="s">
        <v>40</v>
      </c>
      <c r="C51" s="336">
        <f>เป้าหมายคุณภาพ!C51</f>
        <v>0</v>
      </c>
      <c r="D51" s="340">
        <f>'7.3'!T10</f>
        <v>0</v>
      </c>
      <c r="E51" s="340">
        <f>'7.3'!U10</f>
        <v>0</v>
      </c>
      <c r="F51" s="340">
        <f>'7.3'!V10</f>
        <v>0</v>
      </c>
      <c r="G51" s="340">
        <f>'7.3'!W10</f>
        <v>0</v>
      </c>
      <c r="H51" s="340">
        <f>'7.3'!X10</f>
        <v>0</v>
      </c>
      <c r="I51" s="331"/>
      <c r="J51" s="331"/>
      <c r="K51" s="331"/>
      <c r="L51" s="331"/>
      <c r="M51" s="297">
        <f>IF('7.3'!G6="ไม่ประเมิน","",(D51+E51+F51+G51+H51))</f>
        <v>0</v>
      </c>
      <c r="N51" s="297"/>
      <c r="O51" s="297">
        <f>M51</f>
        <v>0</v>
      </c>
      <c r="P51" s="298" t="str">
        <f>IF(O51="","",IF(O51 &gt;=C51,"ü",IF(O51&lt;C51,"û")))</f>
        <v>ü</v>
      </c>
      <c r="Q51" s="297">
        <f>IF(O51="","",IF(O51&gt;4,5,IF(O51&gt;3,4,IF(O51&gt;2,3,IF(O51&gt;1,2,IF(O51&gt;0,1,0))))))</f>
        <v>0</v>
      </c>
      <c r="R51" s="628" t="str">
        <f t="shared" si="8"/>
        <v/>
      </c>
    </row>
    <row r="52" spans="1:20" ht="24" hidden="1" customHeight="1" thickBot="1">
      <c r="A52" s="313" t="s">
        <v>599</v>
      </c>
      <c r="B52" s="314" t="s">
        <v>40</v>
      </c>
      <c r="C52" s="336">
        <f>เป้าหมายคุณภาพ!C52</f>
        <v>0</v>
      </c>
      <c r="D52" s="340">
        <f>'7.4'!T10</f>
        <v>0</v>
      </c>
      <c r="E52" s="340">
        <f>'7.4'!U10</f>
        <v>0</v>
      </c>
      <c r="F52" s="340">
        <f>'7.4'!V10</f>
        <v>0</v>
      </c>
      <c r="G52" s="340">
        <f>'7.4'!W10</f>
        <v>0</v>
      </c>
      <c r="H52" s="340">
        <f>'7.4'!X10</f>
        <v>0</v>
      </c>
      <c r="I52" s="340">
        <f>'7.4'!Y10</f>
        <v>0</v>
      </c>
      <c r="J52" s="331"/>
      <c r="K52" s="331"/>
      <c r="L52" s="331"/>
      <c r="M52" s="297">
        <f>IF('7.4'!G6="ไม่ประเมิน","",(D52+E52+F52+G52+H52+I52))</f>
        <v>0</v>
      </c>
      <c r="N52" s="297"/>
      <c r="O52" s="297">
        <f>M52</f>
        <v>0</v>
      </c>
      <c r="P52" s="298" t="str">
        <f>IF(O52="","",IF(O52 &gt;=C52,"ü",IF(O52&lt;C52,"û")))</f>
        <v>ü</v>
      </c>
      <c r="Q52" s="297">
        <f>IF(O52="","",IF(O52&gt;5,5,IF(O52&gt;4,4,IF(O52&gt;2,3,IF(O52&gt;1,2,IF(O52&gt;0,1,0))))))</f>
        <v>0</v>
      </c>
      <c r="R52" s="628" t="str">
        <f t="shared" si="8"/>
        <v/>
      </c>
    </row>
    <row r="53" spans="1:20" ht="21.75" hidden="1" thickBot="1">
      <c r="A53" s="313" t="s">
        <v>600</v>
      </c>
      <c r="B53" s="314" t="s">
        <v>39</v>
      </c>
      <c r="C53" s="336">
        <f>เป้าหมายคุณภาพ!C53</f>
        <v>0</v>
      </c>
      <c r="D53" s="915"/>
      <c r="E53" s="916"/>
      <c r="F53" s="916"/>
      <c r="G53" s="916"/>
      <c r="H53" s="916"/>
      <c r="I53" s="916"/>
      <c r="J53" s="916"/>
      <c r="K53" s="916"/>
      <c r="L53" s="917"/>
      <c r="M53" s="337"/>
      <c r="N53" s="337"/>
      <c r="O53" s="485">
        <f>'7-12'!F12</f>
        <v>0</v>
      </c>
      <c r="P53" s="298" t="str">
        <f t="shared" ref="P53" si="9">IF(O53 &gt;=C53,"ü",IF(O53&lt;C53,"û"))</f>
        <v>ü</v>
      </c>
      <c r="Q53" s="297"/>
      <c r="R53" s="628" t="str">
        <f t="shared" si="8"/>
        <v>ไม่รับการประเมิน</v>
      </c>
    </row>
    <row r="54" spans="1:20" ht="21.75" hidden="1" thickBot="1">
      <c r="A54" s="313" t="s">
        <v>600</v>
      </c>
      <c r="B54" s="314" t="s">
        <v>39</v>
      </c>
      <c r="C54" s="336">
        <f>เป้าหมายคุณภาพ!C54</f>
        <v>0</v>
      </c>
      <c r="D54" s="639"/>
      <c r="E54" s="640"/>
      <c r="F54" s="640"/>
      <c r="G54" s="640"/>
      <c r="H54" s="640"/>
      <c r="I54" s="640"/>
      <c r="J54" s="640"/>
      <c r="K54" s="640"/>
      <c r="L54" s="641"/>
      <c r="M54" s="337"/>
      <c r="N54" s="337"/>
      <c r="O54" s="485">
        <f>IF('7-12'!G6="ไม่ประเมิน","",'7-12'!F12)</f>
        <v>0</v>
      </c>
      <c r="P54" s="298" t="str">
        <f>IF(O54="","",IF(O54 &gt;=C54,"ü",IF(O54&lt;C54,"û")))</f>
        <v>ü</v>
      </c>
      <c r="Q54" s="297">
        <f>IF(O54="","",O54)</f>
        <v>0</v>
      </c>
      <c r="R54" s="628"/>
    </row>
    <row r="55" spans="1:20" ht="21.75" hidden="1" thickBot="1">
      <c r="A55" s="313" t="s">
        <v>601</v>
      </c>
      <c r="B55" s="314" t="s">
        <v>39</v>
      </c>
      <c r="C55" s="336">
        <f>เป้าหมายคุณภาพ!C55</f>
        <v>0</v>
      </c>
      <c r="D55" s="915"/>
      <c r="E55" s="916"/>
      <c r="F55" s="916"/>
      <c r="G55" s="916"/>
      <c r="H55" s="916"/>
      <c r="I55" s="916"/>
      <c r="J55" s="916"/>
      <c r="K55" s="916"/>
      <c r="L55" s="917"/>
      <c r="M55" s="337"/>
      <c r="N55" s="337"/>
      <c r="O55" s="485">
        <f>IF('7-13'!G6="ไม่ประเมิน","",'7-13'!F12)</f>
        <v>0</v>
      </c>
      <c r="P55" s="298" t="str">
        <f>IF(O55="","",IF(O55 &gt;=C55,"ü",IF(O55&lt;C55,"û")))</f>
        <v>ü</v>
      </c>
      <c r="Q55" s="297">
        <f>IF(O55="","",O55)</f>
        <v>0</v>
      </c>
      <c r="R55" s="628" t="str">
        <f t="shared" si="8"/>
        <v/>
      </c>
    </row>
    <row r="56" spans="1:20" ht="21.75" hidden="1" thickBot="1">
      <c r="A56" s="351" t="s">
        <v>469</v>
      </c>
      <c r="B56" s="352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2"/>
      <c r="N56" s="352"/>
      <c r="O56" s="352"/>
      <c r="P56" s="354"/>
      <c r="Q56" s="352"/>
      <c r="R56" s="630"/>
    </row>
    <row r="57" spans="1:20" ht="21.75" hidden="1" thickBot="1">
      <c r="A57" s="351" t="s">
        <v>470</v>
      </c>
      <c r="B57" s="352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2"/>
      <c r="N57" s="352"/>
      <c r="O57" s="352"/>
      <c r="P57" s="354"/>
      <c r="Q57" s="352"/>
      <c r="R57" s="630"/>
    </row>
    <row r="58" spans="1:20" ht="21.75" hidden="1" thickBot="1">
      <c r="A58" s="306" t="s">
        <v>602</v>
      </c>
      <c r="B58" s="307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10"/>
      <c r="N58" s="310"/>
      <c r="O58" s="310"/>
      <c r="P58" s="311"/>
      <c r="Q58" s="286">
        <f>AVERAGE(Q59)</f>
        <v>0</v>
      </c>
      <c r="R58" s="637" t="str">
        <f>IF(Q58&gt;4.5,"ระดับดีมาก",IF(Q58&gt;3.5,"ระดับดี",IF(Q58&gt;2.5,"ระดับพอใช้",IF(Q58&gt;1.5,"ต้องปรับปรุง",IF(Q58&gt;=0,"ต้องปรับปรุงเร่งด่วน")))))</f>
        <v>ต้องปรับปรุงเร่งด่วน</v>
      </c>
    </row>
    <row r="59" spans="1:20" ht="21.75" hidden="1" thickBot="1">
      <c r="A59" s="313" t="s">
        <v>603</v>
      </c>
      <c r="B59" s="314" t="s">
        <v>40</v>
      </c>
      <c r="C59" s="336">
        <f>เป้าหมายคุณภาพ!C59</f>
        <v>0</v>
      </c>
      <c r="D59" s="340">
        <f>'8.1'!T10</f>
        <v>0</v>
      </c>
      <c r="E59" s="340">
        <f>'8.1'!U10</f>
        <v>0</v>
      </c>
      <c r="F59" s="340">
        <f>'8.1'!V10</f>
        <v>0</v>
      </c>
      <c r="G59" s="340">
        <f>'8.1'!W10</f>
        <v>0</v>
      </c>
      <c r="H59" s="340">
        <f>'8.1'!X10</f>
        <v>0</v>
      </c>
      <c r="I59" s="340">
        <f>'8.1'!Y10</f>
        <v>0</v>
      </c>
      <c r="J59" s="340">
        <f>'8.1'!Z10</f>
        <v>0</v>
      </c>
      <c r="K59" s="331"/>
      <c r="L59" s="331"/>
      <c r="M59" s="297">
        <f>IF('8.1'!G6="ไม่ประเมิน","",(D59+E59+F59+G59+H59+I59+J59))</f>
        <v>0</v>
      </c>
      <c r="N59" s="297"/>
      <c r="O59" s="297">
        <f>M59</f>
        <v>0</v>
      </c>
      <c r="P59" s="298" t="str">
        <f>IF(O59="","",IF(O59 &gt;=C59,"ü",IF(O59&lt;C59,"û")))</f>
        <v>ü</v>
      </c>
      <c r="Q59" s="297">
        <f>IF(O59="","",IF(O59&gt;6,5,IF(O59&gt;5,4,IF(O59&gt;3,3,IF(O59&gt;1,2,IF(O59&gt;0,1,0))))))</f>
        <v>0</v>
      </c>
      <c r="R59" s="628" t="str">
        <f>IF(Q59="","ไม่รับการประเมิน","")</f>
        <v/>
      </c>
    </row>
    <row r="60" spans="1:20" ht="21.75" thickBot="1">
      <c r="A60" s="306" t="s">
        <v>471</v>
      </c>
      <c r="B60" s="307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10"/>
      <c r="N60" s="310"/>
      <c r="O60" s="310"/>
      <c r="P60" s="311"/>
      <c r="Q60" s="286" t="e">
        <f>AVERAGE(Q61:Q62)</f>
        <v>#DIV/0!</v>
      </c>
      <c r="R60" s="632" t="e">
        <f>IF(Q60&gt;4.5,"ระดับดีมาก",IF(Q60&gt;3.5,"ระดับดี",IF(Q60&gt;2.5,"ระดับพอใช้",IF(Q60&gt;1.5,"ต้องปรับปรุง",IF(Q60&gt;=0,"ต้องปรับปรุงเร่งด่วน")))))</f>
        <v>#DIV/0!</v>
      </c>
    </row>
    <row r="61" spans="1:20" ht="21.75" hidden="1" thickBot="1">
      <c r="A61" s="313" t="s">
        <v>604</v>
      </c>
      <c r="B61" s="314" t="s">
        <v>40</v>
      </c>
      <c r="C61" s="336">
        <f>เป้าหมายคุณภาพ!C61</f>
        <v>0</v>
      </c>
      <c r="D61" s="340">
        <f>'9.1'!T10</f>
        <v>0</v>
      </c>
      <c r="E61" s="340">
        <f>'9.1'!U10</f>
        <v>0</v>
      </c>
      <c r="F61" s="340">
        <f>'9.1'!V10</f>
        <v>0</v>
      </c>
      <c r="G61" s="340">
        <f>'9.1'!W10</f>
        <v>0</v>
      </c>
      <c r="H61" s="340">
        <f>'9.1'!X10</f>
        <v>0</v>
      </c>
      <c r="I61" s="340">
        <f>'9.1'!Y10</f>
        <v>0</v>
      </c>
      <c r="J61" s="340">
        <f>'9.1'!Z10</f>
        <v>0</v>
      </c>
      <c r="K61" s="340">
        <f>'9.1'!AA10</f>
        <v>0</v>
      </c>
      <c r="L61" s="340">
        <f>'9.1'!AB10</f>
        <v>0</v>
      </c>
      <c r="M61" s="297">
        <f>IF('9.1'!G6="ไม่ประเมิน","",(D61+E61+F61+G61+H61+I61+J61+K61+L61))</f>
        <v>0</v>
      </c>
      <c r="N61" s="297"/>
      <c r="O61" s="297">
        <f>M61</f>
        <v>0</v>
      </c>
      <c r="P61" s="298" t="str">
        <f>IF(O61="","",IF(O61 &gt;=C61,"ü",IF(O61&lt;C61,"û")))</f>
        <v>ü</v>
      </c>
      <c r="Q61" s="297">
        <f>IF(O61="","",IF(O61&gt;8,5,IF(O61&gt;6,4,IF(O61&gt;3,3,IF(O61&gt;1,2,IF(O61&gt;0,1,0))))))</f>
        <v>0</v>
      </c>
      <c r="R61" s="628" t="str">
        <f>IF(Q61="","ไม่รับการประเมิน","")</f>
        <v/>
      </c>
    </row>
    <row r="62" spans="1:20" ht="34.5" customHeight="1" thickBot="1">
      <c r="A62" s="295" t="s">
        <v>472</v>
      </c>
      <c r="B62" s="330" t="s">
        <v>5</v>
      </c>
      <c r="C62" s="336">
        <f>เป้าหมายคุณภาพ!C62</f>
        <v>0</v>
      </c>
      <c r="D62" s="921"/>
      <c r="E62" s="922"/>
      <c r="F62" s="922"/>
      <c r="G62" s="922"/>
      <c r="H62" s="922"/>
      <c r="I62" s="922"/>
      <c r="J62" s="922"/>
      <c r="K62" s="922"/>
      <c r="L62" s="923"/>
      <c r="M62" s="355" t="e">
        <f>IF('9-15'!G6="ไม่ประเมิน","",Q71)</f>
        <v>#DIV/0!</v>
      </c>
      <c r="N62" s="356"/>
      <c r="O62" s="355" t="e">
        <f>M62</f>
        <v>#DIV/0!</v>
      </c>
      <c r="P62" s="293" t="e">
        <f>IF(O62="","",IF(O62 &gt;=C62,"ü",IF(O62&lt;C62,"û")))</f>
        <v>#DIV/0!</v>
      </c>
      <c r="Q62" s="347" t="e">
        <f>IF(O62="","",Q71)</f>
        <v>#DIV/0!</v>
      </c>
      <c r="R62" s="628" t="e">
        <f>IF(Q62="","ไม่รับการประเมิน","")</f>
        <v>#DIV/0!</v>
      </c>
      <c r="T62" s="629" t="s">
        <v>518</v>
      </c>
    </row>
    <row r="63" spans="1:20" ht="21.75" thickBot="1">
      <c r="A63" s="306" t="s">
        <v>473</v>
      </c>
      <c r="B63" s="307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10"/>
      <c r="N63" s="310"/>
      <c r="O63" s="310"/>
      <c r="P63" s="311"/>
      <c r="Q63" s="286">
        <f>AVERAGE(Q64:Q66)</f>
        <v>0</v>
      </c>
      <c r="R63" s="637" t="str">
        <f>IF(Q63&gt;4.5,"ระดับดีมาก",IF(Q63&gt;3.5,"ระดับดี",IF(Q63&gt;2.5,"ระดับพอใช้",IF(Q63&gt;1.5,"ต้องปรับปรุง",IF(Q63&gt;=0,"ต้องปรับปรุงเร่งด่วน")))))</f>
        <v>ต้องปรับปรุงเร่งด่วน</v>
      </c>
    </row>
    <row r="64" spans="1:20" ht="21.75" thickBot="1">
      <c r="A64" s="295" t="s">
        <v>474</v>
      </c>
      <c r="B64" s="289" t="s">
        <v>40</v>
      </c>
      <c r="C64" s="326">
        <f>เป้าหมายคุณภาพ!C66</f>
        <v>0</v>
      </c>
      <c r="D64" s="327">
        <f>'10-1'!T10</f>
        <v>0</v>
      </c>
      <c r="E64" s="327">
        <f>'10-1'!U10</f>
        <v>0</v>
      </c>
      <c r="F64" s="327">
        <f>'10-1'!V10</f>
        <v>0</v>
      </c>
      <c r="G64" s="327">
        <f>'10-1'!W10</f>
        <v>0</v>
      </c>
      <c r="H64" s="327">
        <f>'10-1'!X10</f>
        <v>0</v>
      </c>
      <c r="I64" s="328"/>
      <c r="J64" s="328"/>
      <c r="K64" s="328"/>
      <c r="L64" s="328"/>
      <c r="M64" s="292">
        <f>IF('10-1'!G6="ไม่ประเมิน","",(D64+E64+F64+G64+H64))</f>
        <v>0</v>
      </c>
      <c r="N64" s="292"/>
      <c r="O64" s="292">
        <f>M64</f>
        <v>0</v>
      </c>
      <c r="P64" s="293" t="str">
        <f>IF(O64="","",IF(O64 &gt;=C64,"ü",IF(O64&lt;C64,"û")))</f>
        <v>ü</v>
      </c>
      <c r="Q64" s="292">
        <f>IF(O64="","",IF(O64=5,5,IF(O64=4,4,IF(O64=3,3,IF(O64=2,2,IF(O64&gt;0,1,0))))))</f>
        <v>0</v>
      </c>
      <c r="R64" s="628" t="str">
        <f>IF(Q64="","ไม่รับการประเมิน","")</f>
        <v/>
      </c>
    </row>
    <row r="65" spans="1:18" ht="42.75" hidden="1" thickBot="1">
      <c r="A65" s="329" t="s">
        <v>475</v>
      </c>
      <c r="B65" s="314" t="s">
        <v>40</v>
      </c>
      <c r="C65" s="336"/>
      <c r="D65" s="340"/>
      <c r="E65" s="340"/>
      <c r="F65" s="340"/>
      <c r="G65" s="340"/>
      <c r="H65" s="340"/>
      <c r="I65" s="331"/>
      <c r="J65" s="331"/>
      <c r="K65" s="331"/>
      <c r="L65" s="331"/>
      <c r="M65" s="297">
        <f>(D65+E65+F65+G65+H65)</f>
        <v>0</v>
      </c>
      <c r="N65" s="297"/>
      <c r="O65" s="297">
        <f>M65</f>
        <v>0</v>
      </c>
      <c r="P65" s="298" t="str">
        <f>IF(O65 &gt;=C65,"ü",IF(O65&lt;C65,"û"))</f>
        <v>ü</v>
      </c>
      <c r="Q65" s="297"/>
      <c r="R65" s="628"/>
    </row>
    <row r="66" spans="1:18" ht="21.75" hidden="1" thickBot="1">
      <c r="A66" s="329" t="s">
        <v>476</v>
      </c>
      <c r="B66" s="314" t="s">
        <v>39</v>
      </c>
      <c r="C66" s="336">
        <v>3.51</v>
      </c>
      <c r="D66" s="924"/>
      <c r="E66" s="924"/>
      <c r="F66" s="924"/>
      <c r="G66" s="924"/>
      <c r="H66" s="924"/>
      <c r="I66" s="924"/>
      <c r="J66" s="924"/>
      <c r="K66" s="924"/>
      <c r="L66" s="924"/>
      <c r="M66" s="357"/>
      <c r="N66" s="357"/>
      <c r="O66" s="358">
        <f>M66</f>
        <v>0</v>
      </c>
      <c r="P66" s="359" t="str">
        <f>IF(O66 &gt;=C66,"ü",IF(O66&lt;C66,"û"))</f>
        <v>û</v>
      </c>
      <c r="Q66" s="358"/>
      <c r="R66" s="634"/>
    </row>
    <row r="67" spans="1:18" ht="21.75" hidden="1" thickBot="1">
      <c r="A67" s="306" t="s">
        <v>954</v>
      </c>
      <c r="B67" s="307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10"/>
      <c r="N67" s="310"/>
      <c r="O67" s="310"/>
      <c r="P67" s="311"/>
      <c r="Q67" s="286">
        <f>AVERAGE(Q68:Q69)</f>
        <v>0</v>
      </c>
      <c r="R67" s="637" t="str">
        <f>IF(Q67&gt;4.5,"ระดับดีมาก",IF(Q67&gt;3.5,"ระดับดี",IF(Q67&gt;2.5,"ระดับพอใช้",IF(Q67&gt;1.5,"ต้องปรับปรุง",IF(Q67&gt;=0,"ต้องปรับปรุงเร่งด่วน")))))</f>
        <v>ต้องปรับปรุงเร่งด่วน</v>
      </c>
    </row>
    <row r="68" spans="1:18" ht="21.75" hidden="1" thickBot="1">
      <c r="A68" s="295" t="s">
        <v>953</v>
      </c>
      <c r="B68" s="289" t="s">
        <v>40</v>
      </c>
      <c r="C68" s="326">
        <f>เป้าหมายคุณภาพ!C70</f>
        <v>0</v>
      </c>
      <c r="D68" s="327">
        <f>'3D11.1'!T10</f>
        <v>0</v>
      </c>
      <c r="E68" s="327">
        <f>'3D11.1'!U10</f>
        <v>0</v>
      </c>
      <c r="F68" s="327">
        <f>'3D11.1'!V10</f>
        <v>0</v>
      </c>
      <c r="G68" s="327">
        <f>'3D11.1'!W10</f>
        <v>0</v>
      </c>
      <c r="H68" s="327">
        <f>'3D11.1'!X10</f>
        <v>0</v>
      </c>
      <c r="I68" s="328"/>
      <c r="J68" s="328"/>
      <c r="K68" s="328"/>
      <c r="L68" s="328"/>
      <c r="M68" s="292">
        <f>IF('3D11.1'!G6="ไม่ประเมิน","",(D68+E68+F68+G68+H68))</f>
        <v>0</v>
      </c>
      <c r="N68" s="292"/>
      <c r="O68" s="292">
        <f>M68</f>
        <v>0</v>
      </c>
      <c r="P68" s="293" t="str">
        <f>IF(O68="","",IF(O68 &gt;=C68,"ü",IF(O68&lt;C68,"û")))</f>
        <v>ü</v>
      </c>
      <c r="Q68" s="292">
        <f>IF(O68="","",IF(O68=5,5,IF(O68=4,4,IF(O68=3,3,IF(O68=2,2,IF(O68&gt;0,1,0))))))</f>
        <v>0</v>
      </c>
      <c r="R68" s="628" t="str">
        <f>IF(Q68="","ไม่รับการประเมิน","")</f>
        <v/>
      </c>
    </row>
    <row r="69" spans="1:18" ht="42.75" hidden="1" thickBot="1">
      <c r="A69" s="295" t="s">
        <v>952</v>
      </c>
      <c r="B69" s="289" t="s">
        <v>950</v>
      </c>
      <c r="C69" s="326">
        <f>เป้าหมายคุณภาพ!C71</f>
        <v>0</v>
      </c>
      <c r="D69" s="327">
        <f>'3D11.2'!T10</f>
        <v>0</v>
      </c>
      <c r="E69" s="327">
        <f>'3D11.2'!U10</f>
        <v>0</v>
      </c>
      <c r="F69" s="327">
        <f>'3D11.2'!V10</f>
        <v>0</v>
      </c>
      <c r="G69" s="627"/>
      <c r="H69" s="328"/>
      <c r="I69" s="328"/>
      <c r="J69" s="328"/>
      <c r="K69" s="328"/>
      <c r="L69" s="328"/>
      <c r="M69" s="292">
        <f>IF('3D11.2'!G6="ไม่ประเมิน","",(D69+E69+F69))</f>
        <v>0</v>
      </c>
      <c r="N69" s="292"/>
      <c r="O69" s="292">
        <f>M69</f>
        <v>0</v>
      </c>
      <c r="P69" s="293" t="str">
        <f>IF(O69="","",IF(O69 &gt;=C69,"ü",IF(O69&lt;C69,"û")))</f>
        <v>ü</v>
      </c>
      <c r="Q69" s="292">
        <f>IF(O69="","",IF(O69=3,5,IF(O69=2,3,IF(O69=1,1,0))))</f>
        <v>0</v>
      </c>
      <c r="R69" s="628" t="str">
        <f>IF(Q69="","ไม่รับการประเมิน","")</f>
        <v/>
      </c>
    </row>
    <row r="70" spans="1:18" ht="27" customHeight="1">
      <c r="M70" s="914" t="s">
        <v>956</v>
      </c>
      <c r="N70" s="914"/>
      <c r="O70" s="914"/>
      <c r="P70" s="914"/>
      <c r="Q70" s="363" t="e">
        <f>AVERAGE(Q7:Q9,Q12:Q26,Q28:Q29,Q31:Q36,Q38:Q43,Q45:Q47,Q49:Q55,Q59,Q61:Q62,Q64,Q68:Q69)</f>
        <v>#DIV/0!</v>
      </c>
      <c r="R70" s="364" t="e">
        <f>IF(Q70&gt;4.5,"ระดับดีมาก",IF(Q70&gt;3.5,"ระดับดี",IF(Q70&gt;2.5,"ระดับพอใช้",IF(Q70&gt;1.5,"ต้องปรับปรุง",IF(Q70&gt;=0,"ต้องปรับปรุงเร่งด่วน")))))</f>
        <v>#DIV/0!</v>
      </c>
    </row>
    <row r="71" spans="1:18" ht="25.5" customHeight="1">
      <c r="C71" s="361"/>
      <c r="M71" s="914" t="s">
        <v>478</v>
      </c>
      <c r="N71" s="914"/>
      <c r="O71" s="914"/>
      <c r="P71" s="914"/>
      <c r="Q71" s="642" t="e">
        <f>AVERAGE(Q7,Q12:Q21,Q28:Q29,Q31:Q33,Q38:Q39,Q45,Q49:Q52,Q59,Q61)</f>
        <v>#DIV/0!</v>
      </c>
      <c r="R71" s="643" t="e">
        <f>IF(Q71&gt;4.5,"ระดับดีมาก",IF(Q71&gt;3.5,"ระดับดี",IF(Q71&gt;2.5,"ระดับพอใช้",IF(Q71&gt;1.5,"ต้องปรับปรุง",IF(Q71&gt;=0,"ต้องปรับปรุงเร่งด่วน")))))</f>
        <v>#DIV/0!</v>
      </c>
    </row>
    <row r="72" spans="1:18">
      <c r="M72" s="914" t="s">
        <v>480</v>
      </c>
      <c r="N72" s="914"/>
      <c r="O72" s="914"/>
      <c r="P72" s="914"/>
      <c r="Q72" s="363" t="e">
        <f>AVERAGE(Q9,Q22:Q26,Q34:Q36,Q40:Q43,Q46:Q47,Q55,Q62)</f>
        <v>#DIV/0!</v>
      </c>
      <c r="R72" s="364" t="e">
        <f>IF(Q72&gt;4.5,"ระดับดีมาก",IF(Q72&gt;3.5,"ระดับดี",IF(Q72&gt;2.5,"ระดับพอใช้",IF(Q72&gt;1.5,"ต้องปรับปรุง",IF(Q72&gt;=0,"ต้องปรับปรุงเร่งด่วน")))))</f>
        <v>#DIV/0!</v>
      </c>
    </row>
    <row r="73" spans="1:18">
      <c r="M73" s="914" t="s">
        <v>915</v>
      </c>
      <c r="N73" s="914"/>
      <c r="O73" s="914"/>
      <c r="P73" s="914"/>
      <c r="Q73" s="363" t="e">
        <f>AVERAGE(Q7:Q9,Q12:Q26,Q28:Q29,Q31:Q36,Q38:Q43,Q45:Q47,Q49:Q55,Q59,Q61:Q62)</f>
        <v>#DIV/0!</v>
      </c>
      <c r="R73" s="364" t="e">
        <f>IF(Q73&gt;4.5,"ระดับดีมาก",IF(Q73&gt;3.5,"ระดับดี",IF(Q73&gt;2.5,"ระดับพอใช้",IF(Q73&gt;1.5,"ต้องปรับปรุง",IF(Q73&gt;=0,"ต้องปรับปรุงเร่งด่วน")))))</f>
        <v>#DIV/0!</v>
      </c>
    </row>
    <row r="74" spans="1:18">
      <c r="A74" s="366" t="s">
        <v>479</v>
      </c>
      <c r="P74" s="365"/>
      <c r="R74" s="365"/>
    </row>
    <row r="75" spans="1:18">
      <c r="P75" s="365"/>
      <c r="R75" s="365"/>
    </row>
    <row r="76" spans="1:18">
      <c r="P76" s="365"/>
      <c r="R76" s="365"/>
    </row>
    <row r="77" spans="1:18">
      <c r="P77" s="365"/>
      <c r="R77" s="365"/>
    </row>
    <row r="78" spans="1:18">
      <c r="P78" s="365"/>
      <c r="R78" s="365"/>
    </row>
    <row r="79" spans="1:18">
      <c r="P79" s="365"/>
      <c r="R79" s="365"/>
    </row>
    <row r="80" spans="1:18">
      <c r="P80" s="365"/>
      <c r="R80" s="365"/>
    </row>
    <row r="81" spans="16:18">
      <c r="P81" s="365"/>
      <c r="R81" s="365"/>
    </row>
    <row r="82" spans="16:18">
      <c r="P82" s="365"/>
      <c r="R82" s="365"/>
    </row>
    <row r="83" spans="16:18">
      <c r="P83" s="365"/>
      <c r="R83" s="365"/>
    </row>
    <row r="84" spans="16:18">
      <c r="P84" s="365"/>
      <c r="R84" s="365"/>
    </row>
  </sheetData>
  <mergeCells count="35">
    <mergeCell ref="A1:R1"/>
    <mergeCell ref="A2:R2"/>
    <mergeCell ref="A3:R3"/>
    <mergeCell ref="A4:A5"/>
    <mergeCell ref="B4:B5"/>
    <mergeCell ref="C4:C5"/>
    <mergeCell ref="D4:L4"/>
    <mergeCell ref="M4:O4"/>
    <mergeCell ref="P4:P5"/>
    <mergeCell ref="Q4:Q5"/>
    <mergeCell ref="R4:R5"/>
    <mergeCell ref="A13:A14"/>
    <mergeCell ref="D13:L14"/>
    <mergeCell ref="R13:R14"/>
    <mergeCell ref="A15:A16"/>
    <mergeCell ref="D15:L16"/>
    <mergeCell ref="R15:R16"/>
    <mergeCell ref="Q15:Q16"/>
    <mergeCell ref="Q13:Q14"/>
    <mergeCell ref="M73:P73"/>
    <mergeCell ref="D22:L22"/>
    <mergeCell ref="D53:L53"/>
    <mergeCell ref="D55:L55"/>
    <mergeCell ref="M70:P70"/>
    <mergeCell ref="D35:L35"/>
    <mergeCell ref="D23:L23"/>
    <mergeCell ref="D26:L26"/>
    <mergeCell ref="D33:L33"/>
    <mergeCell ref="D34:L34"/>
    <mergeCell ref="M71:P71"/>
    <mergeCell ref="M72:P72"/>
    <mergeCell ref="D36:L36"/>
    <mergeCell ref="D40:L40"/>
    <mergeCell ref="D62:L62"/>
    <mergeCell ref="D66:L66"/>
  </mergeCells>
  <pageMargins left="0.511811023622047" right="0.31496062992126" top="0.44488189" bottom="0.49803149600000002" header="0.31496062992126" footer="0.31496062992126"/>
  <pageSetup scale="63" orientation="landscape" horizontalDpi="300" verticalDpi="300" r:id="rId1"/>
  <rowBreaks count="1" manualBreakCount="1">
    <brk id="34" max="17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H36"/>
  <sheetViews>
    <sheetView topLeftCell="A9" zoomScale="90" zoomScaleNormal="90" zoomScaleSheetLayoutView="86" workbookViewId="0">
      <selection activeCell="J18" sqref="J18"/>
    </sheetView>
  </sheetViews>
  <sheetFormatPr defaultRowHeight="21.75"/>
  <cols>
    <col min="1" max="1" width="21.5703125" style="519" customWidth="1"/>
    <col min="2" max="2" width="10.5703125" style="518" customWidth="1"/>
    <col min="3" max="3" width="10" style="517" customWidth="1"/>
    <col min="4" max="4" width="9.42578125" style="517" customWidth="1"/>
    <col min="5" max="5" width="10.28515625" style="517" customWidth="1"/>
    <col min="6" max="6" width="35" style="517" customWidth="1"/>
    <col min="7" max="7" width="28.7109375" style="517" customWidth="1"/>
    <col min="8" max="16384" width="9.140625" style="517"/>
  </cols>
  <sheetData>
    <row r="1" spans="1:8" ht="23.25">
      <c r="A1" s="946" t="s">
        <v>938</v>
      </c>
      <c r="B1" s="946"/>
      <c r="C1" s="946"/>
      <c r="D1" s="946"/>
      <c r="E1" s="946"/>
      <c r="F1" s="946"/>
      <c r="G1" s="946"/>
    </row>
    <row r="2" spans="1:8" ht="23.25">
      <c r="A2" s="952" t="str">
        <f>ส.1!A2</f>
        <v>วิทยาลัยนวัตกรรมการจัดการ</v>
      </c>
      <c r="B2" s="952"/>
      <c r="C2" s="952"/>
      <c r="D2" s="952"/>
      <c r="E2" s="952"/>
      <c r="F2" s="952"/>
    </row>
    <row r="3" spans="1:8" ht="84" customHeight="1">
      <c r="A3" s="947" t="s">
        <v>882</v>
      </c>
      <c r="B3" s="950" t="s">
        <v>881</v>
      </c>
      <c r="C3" s="950"/>
      <c r="D3" s="950"/>
      <c r="E3" s="950"/>
      <c r="F3" s="954" t="s">
        <v>880</v>
      </c>
      <c r="G3" s="957" t="s">
        <v>10</v>
      </c>
    </row>
    <row r="4" spans="1:8" ht="52.5" customHeight="1">
      <c r="A4" s="948"/>
      <c r="B4" s="951" t="s">
        <v>914</v>
      </c>
      <c r="C4" s="951"/>
      <c r="D4" s="951"/>
      <c r="E4" s="951"/>
      <c r="F4" s="955"/>
      <c r="G4" s="958"/>
    </row>
    <row r="5" spans="1:8" ht="27" customHeight="1">
      <c r="A5" s="949"/>
      <c r="B5" s="537" t="s">
        <v>878</v>
      </c>
      <c r="C5" s="537" t="s">
        <v>877</v>
      </c>
      <c r="D5" s="537" t="s">
        <v>876</v>
      </c>
      <c r="E5" s="537" t="s">
        <v>1</v>
      </c>
      <c r="F5" s="956"/>
      <c r="G5" s="959"/>
    </row>
    <row r="6" spans="1:8" s="534" customFormat="1" ht="20.25" customHeight="1">
      <c r="A6" s="531" t="s">
        <v>827</v>
      </c>
      <c r="B6" s="529"/>
      <c r="C6" s="529">
        <f>AVERAGE(ส.1!Q7)</f>
        <v>0</v>
      </c>
      <c r="D6" s="529" t="e">
        <f>AVERAGE(ส.1!Q8:'ส.1'!Q10)</f>
        <v>#DIV/0!</v>
      </c>
      <c r="E6" s="529" t="e">
        <f>AVERAGE(ส.1!Q7:'ส.1'!Q10)</f>
        <v>#DIV/0!</v>
      </c>
      <c r="F6" s="528" t="e">
        <f t="shared" ref="F6:F14" si="0">IF(E6&gt;4.5,"ระดับดีมาก",IF(E6&gt;3.5,"ระดับดี",IF(E6&gt;2.5,"ระดับพอใช้",IF(E6&gt;1.5,"ต้องปรับปรุง",IF(E6&gt;=0,"ต้องปรับปรุงเร่งด่วน")))))</f>
        <v>#DIV/0!</v>
      </c>
      <c r="G6" s="532"/>
    </row>
    <row r="7" spans="1:8" ht="21.75" customHeight="1">
      <c r="A7" s="531" t="s">
        <v>828</v>
      </c>
      <c r="B7" s="530" t="e">
        <f>AVERAGE(ส.1!Q13,ส.1!Q15,ส.1!Q18)</f>
        <v>#DIV/0!</v>
      </c>
      <c r="C7" s="530">
        <f>AVERAGE(ส.1!Q12,ส.1!Q17,ส.1!Q19,ส.1!Q20)</f>
        <v>0</v>
      </c>
      <c r="D7" s="530" t="e">
        <f>AVERAGE(ส.1!Q21,ส.1!Q22,ส.1!Q23,ส.1!Q24,ส.1!Q25,ส.1!Q26)</f>
        <v>#DIV/0!</v>
      </c>
      <c r="E7" s="529" t="e">
        <f>AVERAGE(ส.1!Q12:Q26)</f>
        <v>#DIV/0!</v>
      </c>
      <c r="F7" s="528" t="e">
        <f t="shared" si="0"/>
        <v>#DIV/0!</v>
      </c>
      <c r="G7" s="533"/>
    </row>
    <row r="8" spans="1:8" ht="21.75" customHeight="1">
      <c r="A8" s="531" t="s">
        <v>874</v>
      </c>
      <c r="B8" s="530"/>
      <c r="C8" s="530">
        <f>AVERAGE(ส.1!Q28:Q29)</f>
        <v>0</v>
      </c>
      <c r="D8" s="530"/>
      <c r="E8" s="529">
        <f>AVERAGE(ส.1!Q28:Q29)</f>
        <v>0</v>
      </c>
      <c r="F8" s="528" t="str">
        <f t="shared" si="0"/>
        <v>ต้องปรับปรุงเร่งด่วน</v>
      </c>
      <c r="G8" s="532"/>
      <c r="H8" s="517" t="s">
        <v>138</v>
      </c>
    </row>
    <row r="9" spans="1:8" ht="21.75" customHeight="1">
      <c r="A9" s="531" t="s">
        <v>873</v>
      </c>
      <c r="B9" s="530" t="e">
        <f>AVERAGE(ส.1!Q33)</f>
        <v>#DIV/0!</v>
      </c>
      <c r="C9" s="530">
        <f>AVERAGE(ส.1!Q31:Q32)</f>
        <v>0</v>
      </c>
      <c r="D9" s="530" t="e">
        <f>AVERAGE(ส.1!Q34:Q36)</f>
        <v>#DIV/0!</v>
      </c>
      <c r="E9" s="529" t="e">
        <f>AVERAGE(ส.1!Q31:Q36)</f>
        <v>#DIV/0!</v>
      </c>
      <c r="F9" s="528" t="e">
        <f t="shared" si="0"/>
        <v>#DIV/0!</v>
      </c>
      <c r="G9" s="532"/>
      <c r="H9" s="517" t="s">
        <v>138</v>
      </c>
    </row>
    <row r="10" spans="1:8" ht="21.75" customHeight="1">
      <c r="A10" s="531" t="s">
        <v>872</v>
      </c>
      <c r="B10" s="530"/>
      <c r="C10" s="530">
        <f>AVERAGE(ส.1!Q38:Q39)</f>
        <v>0</v>
      </c>
      <c r="D10" s="530">
        <f>AVERAGE(ส.1!Q40:Q43)</f>
        <v>0</v>
      </c>
      <c r="E10" s="530">
        <f>AVERAGE(ส.1!Q38:Q43)</f>
        <v>0</v>
      </c>
      <c r="F10" s="528" t="str">
        <f t="shared" si="0"/>
        <v>ต้องปรับปรุงเร่งด่วน</v>
      </c>
      <c r="G10" s="532" t="s">
        <v>138</v>
      </c>
      <c r="H10" s="517" t="s">
        <v>138</v>
      </c>
    </row>
    <row r="11" spans="1:8" ht="21.75" customHeight="1">
      <c r="A11" s="531" t="s">
        <v>871</v>
      </c>
      <c r="B11" s="530"/>
      <c r="C11" s="530">
        <f>AVERAGE(ส.1!Q45)</f>
        <v>0</v>
      </c>
      <c r="D11" s="530">
        <f>AVERAGE(ส.1!Q46:Q47)</f>
        <v>0</v>
      </c>
      <c r="E11" s="529">
        <f>AVERAGE(ส.1!Q45:Q47)</f>
        <v>0</v>
      </c>
      <c r="F11" s="528" t="str">
        <f t="shared" si="0"/>
        <v>ต้องปรับปรุงเร่งด่วน</v>
      </c>
      <c r="G11" s="532"/>
    </row>
    <row r="12" spans="1:8" ht="21.75" customHeight="1">
      <c r="A12" s="531" t="s">
        <v>870</v>
      </c>
      <c r="B12" s="530"/>
      <c r="C12" s="530">
        <f>AVERAGE(ส.1!Q49:Q52)</f>
        <v>0</v>
      </c>
      <c r="D12" s="530">
        <f>AVERAGE(ส.1!Q55)</f>
        <v>0</v>
      </c>
      <c r="E12" s="529">
        <f>AVERAGE(ส.1!Q49:Q55)</f>
        <v>0</v>
      </c>
      <c r="F12" s="528" t="str">
        <f t="shared" si="0"/>
        <v>ต้องปรับปรุงเร่งด่วน</v>
      </c>
      <c r="G12" s="532" t="s">
        <v>138</v>
      </c>
    </row>
    <row r="13" spans="1:8" ht="21.75" customHeight="1">
      <c r="A13" s="531" t="s">
        <v>869</v>
      </c>
      <c r="B13" s="530"/>
      <c r="C13" s="530">
        <f>AVERAGE(ส.1!Q59)</f>
        <v>0</v>
      </c>
      <c r="D13" s="530"/>
      <c r="E13" s="529">
        <f>AVERAGE(ส.1!Q59)</f>
        <v>0</v>
      </c>
      <c r="F13" s="528" t="str">
        <f t="shared" si="0"/>
        <v>ต้องปรับปรุงเร่งด่วน</v>
      </c>
      <c r="G13" s="532"/>
    </row>
    <row r="14" spans="1:8" ht="21.75" customHeight="1">
      <c r="A14" s="531" t="s">
        <v>868</v>
      </c>
      <c r="B14" s="530"/>
      <c r="C14" s="530">
        <f>AVERAGE(ส.1!Q61)</f>
        <v>0</v>
      </c>
      <c r="D14" s="588" t="e">
        <f>AVERAGE(ส.1!Q62)</f>
        <v>#DIV/0!</v>
      </c>
      <c r="E14" s="529" t="e">
        <f>AVERAGE(ส.1!Q61:Q62)</f>
        <v>#DIV/0!</v>
      </c>
      <c r="F14" s="528" t="e">
        <f t="shared" si="0"/>
        <v>#DIV/0!</v>
      </c>
      <c r="G14" s="527"/>
      <c r="H14" s="517" t="s">
        <v>138</v>
      </c>
    </row>
    <row r="15" spans="1:8" ht="56.25" customHeight="1">
      <c r="A15" s="526" t="s">
        <v>866</v>
      </c>
      <c r="B15" s="525" t="e">
        <f>AVERAGE(ส.1!Q13,ส.1!Q15,ส.1!Q18,ส.1!Q33)</f>
        <v>#DIV/0!</v>
      </c>
      <c r="C15" s="525">
        <f>AVERAGE(ส.1!Q7,ส.1!Q12,ส.1!Q17,ส.1!Q19,ส.1!Q20,ส.1!Q28,ส.1!Q29,ส.1!Q31:Q32,ส.1!Q38:Q39,ส.1!Q45,ส.1!Q49:Q52,ส.1!Q59,ส.1!Q61)</f>
        <v>0</v>
      </c>
      <c r="D15" s="525" t="e">
        <f>AVERAGE(ส.1!Q8:'ส.1'!Q10,ส.1!Q21,ส.1!Q22:Q26,ส.1!Q34:Q36,ส.1!Q40:Q43,ส.1!Q46:Q47,ส.1!Q55,ส.1!Q62)</f>
        <v>#DIV/0!</v>
      </c>
      <c r="E15" s="525" t="e">
        <f>AVERAGE(ส.1!Q7:Q10,ส.1!Q12:Q18,ส.1!Q19:Q26,ส.1!Q28:Q29,ส.1!Q31:Q36,ส.1!Q38:Q43,ส.1!Q45:Q47,ส.1!Q49:Q55,ส.1!Q59,ส.1!Q61:Q62)</f>
        <v>#DIV/0!</v>
      </c>
      <c r="F15" s="524"/>
    </row>
    <row r="16" spans="1:8" s="520" customFormat="1" ht="94.5" customHeight="1">
      <c r="A16" s="523" t="s">
        <v>60</v>
      </c>
      <c r="B16" s="522" t="e">
        <f>IF(B15&gt;4.5,"ระดับดีมาก",IF(B15&gt;3.5,"ระดับดี",IF(B15&gt;2.5,"ระดับพอใช้",IF(B15&gt;1.5,"ต้องปรับปรุง",IF(B15&gt;=0,"ต้องปรับปรุงเร่งด่วน")))))</f>
        <v>#DIV/0!</v>
      </c>
      <c r="C16" s="522" t="str">
        <f>IF(C15&gt;4.5,"ระดับดีมาก",IF(C15&gt;3.5,"ระดับดี",IF(C15&gt;2.5,"ระดับพอใช้",IF(C15&gt;1.5,"ต้องปรับปรุง",IF(C15&gt;=0,"ต้องปรับปรุงเร่งด่วน")))))</f>
        <v>ต้องปรับปรุงเร่งด่วน</v>
      </c>
      <c r="D16" s="522" t="e">
        <f>IF(D15&gt;4.5,"ระดับดีมาก",IF(D15&gt;3.5,"ระดับดี",IF(D15&gt;2.5,"ระดับพอใช้",IF(D15&gt;1.5,"ต้องปรับปรุง",IF(D15&gt;=0,"ต้องปรับปรุงเร่งด่วน")))))</f>
        <v>#DIV/0!</v>
      </c>
      <c r="E16" s="522" t="e">
        <f>IF(E15&gt;4.5,"ระดับดีมาก",IF(E15&gt;3.5,"ระดับดี",IF(E15&gt;2.5,"ระดับพอใช้",IF(E15&gt;1.5,"ต้องปรับปรุง",IF(E15&gt;=0,"ต้องปรับปรุงเร่งด่วน")))))</f>
        <v>#DIV/0!</v>
      </c>
      <c r="F16" s="521"/>
    </row>
    <row r="17" spans="1:8" ht="21.75" customHeight="1">
      <c r="A17" s="531" t="s">
        <v>884</v>
      </c>
      <c r="B17" s="530"/>
      <c r="C17" s="530">
        <f>AVERAGE(ส.1!Q64)</f>
        <v>0</v>
      </c>
      <c r="D17" s="530"/>
      <c r="E17" s="529">
        <f>AVERAGE(ส.1!Q64)</f>
        <v>0</v>
      </c>
      <c r="F17" s="528" t="str">
        <f>IF(E17&gt;4.5,"ระดับดีมาก",IF(E17&gt;3.5,"ระดับดี",IF(E17&gt;2.5,"ระดับพอใช้",IF(E17&gt;1.5,"ต้องปรับปรุง",IF(E17&gt;=0,"ต้องปรับปรุงเร่งด่วน")))))</f>
        <v>ต้องปรับปรุงเร่งด่วน</v>
      </c>
      <c r="G17" s="532"/>
    </row>
    <row r="18" spans="1:8" ht="47.25" customHeight="1">
      <c r="A18" s="526" t="s">
        <v>883</v>
      </c>
      <c r="B18" s="525" t="e">
        <f>AVERAGE(ส.1!Q16,ส.1!Q18,ส.1!Q21,ส.1!Q36)</f>
        <v>#DIV/0!</v>
      </c>
      <c r="C18" s="525" t="e">
        <f>AVERAGE(ส.1!Q12,ส.1!Q15,ส.1!Q20,ส.1!Q22,ส.1!Q23,ส.1!Q31,ส.1!Q32,ส.1!Q34:Q35,ส.1!Q41:Q42,ส.1!Q48,ส.1!Q52:Q56,ส.1!Q62,ส.1!#REF!,ส.1!Q64)</f>
        <v>#REF!</v>
      </c>
      <c r="D18" s="525" t="e">
        <f>AVERAGE(ส.1!Q8:'ส.1'!Q10,ส.1!Q21,ส.1!Q22:Q26,ส.1!Q34:Q36,ส.1!Q40:Q43,ส.1!Q46:Q47,ส.1!Q55,ส.1!Q62)</f>
        <v>#DIV/0!</v>
      </c>
      <c r="E18" s="525" t="e">
        <f>AVERAGE(ส.1!Q7:Q10,ส.1!Q12:Q18,ส.1!Q19:Q26,ส.1!Q28:Q29,ส.1!Q31:Q36,ส.1!Q38:Q43,ส.1!Q45:Q47,ส.1!Q49:Q55,ส.1!Q59,ส.1!Q61:Q62,ส.1!Q64)</f>
        <v>#DIV/0!</v>
      </c>
      <c r="F18" s="524"/>
    </row>
    <row r="19" spans="1:8" s="520" customFormat="1" ht="94.5" customHeight="1">
      <c r="A19" s="523" t="s">
        <v>60</v>
      </c>
      <c r="B19" s="522" t="e">
        <f>IF(B18&gt;4.5,"ระดับดีมาก",IF(B18&gt;3.5,"ระดับดี",IF(B18&gt;2.5,"ระดับพอใช้",IF(B18&gt;1.5,"ต้องปรับปรุง",IF(B18&gt;=0,"ต้องปรับปรุงเร่งด่วน")))))</f>
        <v>#DIV/0!</v>
      </c>
      <c r="C19" s="522" t="e">
        <f>IF(C18&gt;4.5,"ระดับดีมาก",IF(C18&gt;3.5,"ระดับดี",IF(C18&gt;2.5,"ระดับพอใช้",IF(C18&gt;1.5,"ต้องปรับปรุง",IF(C18&gt;=0,"ต้องปรับปรุงเร่งด่วน")))))</f>
        <v>#REF!</v>
      </c>
      <c r="D19" s="522" t="e">
        <f>IF(D18&gt;4.5,"ระดับดีมาก",IF(D18&gt;3.5,"ระดับดี",IF(D18&gt;2.5,"ระดับพอใช้",IF(D18&gt;1.5,"ต้องปรับปรุง",IF(D18&gt;=0,"ต้องปรับปรุงเร่งด่วน")))))</f>
        <v>#DIV/0!</v>
      </c>
      <c r="E19" s="522" t="e">
        <f>IF(E18&gt;4.5,"ระดับดีมาก",IF(E18&gt;3.5,"ระดับดี",IF(E18&gt;2.5,"ระดับพอใช้",IF(E18&gt;1.5,"ต้องปรับปรุง",IF(E18&gt;=0,"ต้องปรับปรุงเร่งด่วน")))))</f>
        <v>#DIV/0!</v>
      </c>
      <c r="F19" s="521"/>
    </row>
    <row r="21" spans="1:8" hidden="1">
      <c r="A21" s="953" t="s">
        <v>913</v>
      </c>
      <c r="B21" s="953"/>
      <c r="C21" s="953"/>
      <c r="D21" s="953"/>
      <c r="E21" s="953"/>
      <c r="F21" s="953"/>
      <c r="G21" s="953"/>
    </row>
    <row r="22" spans="1:8" ht="84" hidden="1" customHeight="1">
      <c r="A22" s="947" t="s">
        <v>882</v>
      </c>
      <c r="B22" s="950" t="s">
        <v>881</v>
      </c>
      <c r="C22" s="950"/>
      <c r="D22" s="950"/>
      <c r="E22" s="950"/>
      <c r="F22" s="960" t="s">
        <v>880</v>
      </c>
      <c r="G22" s="957" t="s">
        <v>10</v>
      </c>
    </row>
    <row r="23" spans="1:8" ht="52.5" hidden="1" customHeight="1">
      <c r="A23" s="948"/>
      <c r="B23" s="951" t="s">
        <v>879</v>
      </c>
      <c r="C23" s="951"/>
      <c r="D23" s="951"/>
      <c r="E23" s="951"/>
      <c r="F23" s="961"/>
      <c r="G23" s="959"/>
    </row>
    <row r="24" spans="1:8" ht="27" hidden="1" customHeight="1">
      <c r="A24" s="949"/>
      <c r="B24" s="537" t="s">
        <v>878</v>
      </c>
      <c r="C24" s="537" t="s">
        <v>877</v>
      </c>
      <c r="D24" s="537" t="s">
        <v>876</v>
      </c>
      <c r="E24" s="537" t="s">
        <v>1</v>
      </c>
      <c r="F24" s="536" t="s">
        <v>875</v>
      </c>
      <c r="G24" s="535"/>
    </row>
    <row r="25" spans="1:8" s="534" customFormat="1" ht="20.25" hidden="1" customHeight="1">
      <c r="A25" s="531" t="s">
        <v>827</v>
      </c>
      <c r="B25" s="529"/>
      <c r="C25" s="529"/>
      <c r="D25" s="529"/>
      <c r="E25" s="529"/>
      <c r="F25" s="528" t="str">
        <f t="shared" ref="F25:F33" si="1">IF(E25&gt;4.5,"ระดับดีมาก",IF(E25&gt;3.5,"ระดับดี",IF(E25&gt;2.5,"ระดับพอใช้",IF(E25&gt;1.5,"ต้องปรับปรุง",IF(E25&gt;=0,"ต้องปรับปรุงเร่งด่วน")))))</f>
        <v>ต้องปรับปรุงเร่งด่วน</v>
      </c>
      <c r="G25" s="532"/>
    </row>
    <row r="26" spans="1:8" ht="21.75" hidden="1" customHeight="1">
      <c r="A26" s="531" t="s">
        <v>828</v>
      </c>
      <c r="B26" s="530"/>
      <c r="C26" s="530"/>
      <c r="D26" s="530"/>
      <c r="E26" s="529"/>
      <c r="F26" s="528" t="str">
        <f t="shared" si="1"/>
        <v>ต้องปรับปรุงเร่งด่วน</v>
      </c>
      <c r="G26" s="533"/>
    </row>
    <row r="27" spans="1:8" ht="21.75" hidden="1" customHeight="1">
      <c r="A27" s="531" t="s">
        <v>874</v>
      </c>
      <c r="B27" s="530"/>
      <c r="C27" s="530"/>
      <c r="D27" s="530"/>
      <c r="E27" s="529"/>
      <c r="F27" s="528" t="str">
        <f t="shared" si="1"/>
        <v>ต้องปรับปรุงเร่งด่วน</v>
      </c>
      <c r="G27" s="532"/>
      <c r="H27" s="517" t="s">
        <v>138</v>
      </c>
    </row>
    <row r="28" spans="1:8" ht="21.75" hidden="1" customHeight="1">
      <c r="A28" s="531" t="s">
        <v>873</v>
      </c>
      <c r="B28" s="530"/>
      <c r="C28" s="530"/>
      <c r="D28" s="530"/>
      <c r="E28" s="529"/>
      <c r="F28" s="528" t="str">
        <f t="shared" si="1"/>
        <v>ต้องปรับปรุงเร่งด่วน</v>
      </c>
      <c r="G28" s="532"/>
      <c r="H28" s="517" t="s">
        <v>138</v>
      </c>
    </row>
    <row r="29" spans="1:8" ht="21.75" hidden="1" customHeight="1">
      <c r="A29" s="531" t="s">
        <v>872</v>
      </c>
      <c r="B29" s="530"/>
      <c r="C29" s="530"/>
      <c r="D29" s="530"/>
      <c r="E29" s="530"/>
      <c r="F29" s="528" t="str">
        <f t="shared" si="1"/>
        <v>ต้องปรับปรุงเร่งด่วน</v>
      </c>
      <c r="G29" s="532" t="s">
        <v>138</v>
      </c>
      <c r="H29" s="517" t="s">
        <v>138</v>
      </c>
    </row>
    <row r="30" spans="1:8" ht="21.75" hidden="1" customHeight="1">
      <c r="A30" s="531" t="s">
        <v>871</v>
      </c>
      <c r="B30" s="530"/>
      <c r="C30" s="530"/>
      <c r="D30" s="530"/>
      <c r="E30" s="529"/>
      <c r="F30" s="528" t="str">
        <f t="shared" si="1"/>
        <v>ต้องปรับปรุงเร่งด่วน</v>
      </c>
      <c r="G30" s="532"/>
    </row>
    <row r="31" spans="1:8" ht="21.75" hidden="1" customHeight="1">
      <c r="A31" s="531" t="s">
        <v>870</v>
      </c>
      <c r="B31" s="530"/>
      <c r="C31" s="530"/>
      <c r="D31" s="530"/>
      <c r="E31" s="529"/>
      <c r="F31" s="528" t="str">
        <f t="shared" si="1"/>
        <v>ต้องปรับปรุงเร่งด่วน</v>
      </c>
      <c r="G31" s="532" t="s">
        <v>138</v>
      </c>
    </row>
    <row r="32" spans="1:8" ht="21.75" hidden="1" customHeight="1">
      <c r="A32" s="531" t="s">
        <v>869</v>
      </c>
      <c r="B32" s="530"/>
      <c r="C32" s="530"/>
      <c r="D32" s="530"/>
      <c r="E32" s="529"/>
      <c r="F32" s="528" t="str">
        <f t="shared" si="1"/>
        <v>ต้องปรับปรุงเร่งด่วน</v>
      </c>
      <c r="G32" s="532"/>
    </row>
    <row r="33" spans="1:8" ht="21.75" hidden="1" customHeight="1">
      <c r="A33" s="531" t="s">
        <v>868</v>
      </c>
      <c r="B33" s="530"/>
      <c r="C33" s="530"/>
      <c r="D33" s="530"/>
      <c r="E33" s="529"/>
      <c r="F33" s="528" t="str">
        <f t="shared" si="1"/>
        <v>ต้องปรับปรุงเร่งด่วน</v>
      </c>
      <c r="G33" s="527" t="s">
        <v>867</v>
      </c>
      <c r="H33" s="517" t="s">
        <v>138</v>
      </c>
    </row>
    <row r="34" spans="1:8" ht="77.25" hidden="1" customHeight="1">
      <c r="A34" s="526" t="s">
        <v>866</v>
      </c>
      <c r="B34" s="525"/>
      <c r="C34" s="525"/>
      <c r="D34" s="525"/>
      <c r="E34" s="525"/>
      <c r="F34" s="524"/>
    </row>
    <row r="35" spans="1:8" s="520" customFormat="1" ht="94.5" hidden="1" customHeight="1">
      <c r="A35" s="523" t="s">
        <v>60</v>
      </c>
      <c r="B35" s="522" t="str">
        <f>IF(B34&gt;4.5,"ระดับดีมาก",IF(B34&gt;3.5,"ระดับดี",IF(B34&gt;2.5,"ระดับพอใช้",IF(B34&gt;1.5,"ต้องปรับปรุง",IF(B34&gt;=0,"ต้องปรับปรุงเร่งด่วน")))))</f>
        <v>ต้องปรับปรุงเร่งด่วน</v>
      </c>
      <c r="C35" s="522" t="str">
        <f>IF(C34&gt;4.5,"ระดับดีมาก",IF(C34&gt;3.5,"ระดับดี",IF(C34&gt;2.5,"ระดับพอใช้",IF(C34&gt;1.5,"ต้องปรับปรุง",IF(C34&gt;=0,"ต้องปรับปรุงเร่งด่วน")))))</f>
        <v>ต้องปรับปรุงเร่งด่วน</v>
      </c>
      <c r="D35" s="522" t="str">
        <f>IF(D34&gt;4.5,"ระดับดีมาก",IF(D34&gt;3.5,"ระดับดี",IF(D34&gt;2.5,"ระดับพอใช้",IF(D34&gt;1.5,"ต้องปรับปรุง",IF(D34&gt;=0,"ต้องปรับปรุงเร่งด่วน")))))</f>
        <v>ต้องปรับปรุงเร่งด่วน</v>
      </c>
      <c r="E35" s="522" t="str">
        <f>IF(E34&gt;4.5,"ระดับดีมาก",IF(E34&gt;3.5,"ระดับดี",IF(E34&gt;2.5,"ระดับพอใช้",IF(E34&gt;1.5,"ต้องปรับปรุง",IF(E34&gt;=0,"ต้องปรับปรุงเร่งด่วน")))))</f>
        <v>ต้องปรับปรุงเร่งด่วน</v>
      </c>
      <c r="F35" s="521"/>
    </row>
    <row r="36" spans="1:8" hidden="1"/>
  </sheetData>
  <mergeCells count="13">
    <mergeCell ref="A21:G21"/>
    <mergeCell ref="F3:F5"/>
    <mergeCell ref="G3:G5"/>
    <mergeCell ref="A22:A24"/>
    <mergeCell ref="B22:E22"/>
    <mergeCell ref="F22:F23"/>
    <mergeCell ref="G22:G23"/>
    <mergeCell ref="B23:E23"/>
    <mergeCell ref="A1:G1"/>
    <mergeCell ref="A3:A5"/>
    <mergeCell ref="B3:E3"/>
    <mergeCell ref="B4:E4"/>
    <mergeCell ref="A2:F2"/>
  </mergeCells>
  <pageMargins left="0.43307086614173229" right="0.19685039370078741" top="0.62992125984251968" bottom="0.27559055118110237" header="0.43307086614173229" footer="0.23622047244094491"/>
  <pageSetup paperSize="9" scale="73" orientation="portrait" r:id="rId1"/>
  <headerFooter alignWithMargins="0">
    <oddHeader>&amp;R&amp;"Browallia New,Bold"&amp;14ภาคผนวก ก</oddHeader>
  </headerFooter>
  <rowBreaks count="1" manualBreakCount="1">
    <brk id="19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L23"/>
  <sheetViews>
    <sheetView topLeftCell="A2" zoomScaleNormal="100" workbookViewId="0">
      <selection activeCell="D11" sqref="D11"/>
    </sheetView>
  </sheetViews>
  <sheetFormatPr defaultRowHeight="21.75"/>
  <cols>
    <col min="1" max="1" width="24" style="519" customWidth="1"/>
    <col min="2" max="2" width="13.5703125" style="518" customWidth="1"/>
    <col min="3" max="3" width="13" style="517" customWidth="1"/>
    <col min="4" max="4" width="14.140625" style="517" customWidth="1"/>
    <col min="5" max="5" width="13.7109375" style="517" customWidth="1"/>
    <col min="6" max="6" width="39.42578125" style="517" customWidth="1"/>
    <col min="7" max="7" width="35.5703125" style="517" customWidth="1"/>
    <col min="8" max="12" width="9.140625" style="538"/>
    <col min="13" max="16384" width="9.140625" style="517"/>
  </cols>
  <sheetData>
    <row r="1" spans="1:12" ht="23.25">
      <c r="A1" s="946" t="s">
        <v>940</v>
      </c>
      <c r="B1" s="946"/>
      <c r="C1" s="946"/>
      <c r="D1" s="946"/>
      <c r="E1" s="946"/>
      <c r="F1" s="946"/>
      <c r="G1" s="946"/>
      <c r="H1" s="562"/>
      <c r="I1" s="562"/>
      <c r="J1" s="562"/>
      <c r="K1" s="562"/>
      <c r="L1" s="562"/>
    </row>
    <row r="2" spans="1:12" ht="23.25">
      <c r="A2" s="952" t="str">
        <f>ส.2!A2</f>
        <v>วิทยาลัยนวัตกรรมการจัดการ</v>
      </c>
      <c r="B2" s="952"/>
      <c r="C2" s="952"/>
      <c r="D2" s="952"/>
      <c r="E2" s="952"/>
      <c r="F2" s="952"/>
      <c r="G2" s="952"/>
      <c r="H2" s="563"/>
      <c r="I2" s="563"/>
      <c r="J2" s="563"/>
      <c r="K2" s="563"/>
      <c r="L2" s="562"/>
    </row>
    <row r="3" spans="1:12" ht="132.75" customHeight="1">
      <c r="A3" s="947" t="s">
        <v>892</v>
      </c>
      <c r="B3" s="965" t="s">
        <v>881</v>
      </c>
      <c r="C3" s="966"/>
      <c r="D3" s="966"/>
      <c r="E3" s="967"/>
      <c r="F3" s="963" t="s">
        <v>891</v>
      </c>
      <c r="G3" s="957" t="s">
        <v>10</v>
      </c>
    </row>
    <row r="4" spans="1:12" ht="27" customHeight="1">
      <c r="A4" s="949"/>
      <c r="B4" s="537" t="s">
        <v>878</v>
      </c>
      <c r="C4" s="537" t="s">
        <v>877</v>
      </c>
      <c r="D4" s="537" t="s">
        <v>876</v>
      </c>
      <c r="E4" s="537" t="s">
        <v>1</v>
      </c>
      <c r="F4" s="964"/>
      <c r="G4" s="959"/>
    </row>
    <row r="5" spans="1:12" s="534" customFormat="1" ht="20.25" customHeight="1">
      <c r="A5" s="531" t="s">
        <v>890</v>
      </c>
      <c r="B5" s="561"/>
      <c r="C5" s="561"/>
      <c r="D5" s="561" t="e">
        <f>AVERAGE(ส.1!Q21,ส.1!Q22:Q26)</f>
        <v>#DIV/0!</v>
      </c>
      <c r="E5" s="561" t="e">
        <f>AVERAGE(ส.1!Q21,ส.1!Q22:Q26)</f>
        <v>#DIV/0!</v>
      </c>
      <c r="F5" s="528" t="e">
        <f>IF(E5&gt;4.5,"ระดับดีมาก",IF(E5&gt;3.5,"ระดับดี",IF(E5&gt;2.5,"ระดับพอใช้",IF(E5&gt;1.5,"ต้องปรับปรุง",IF(E5&gt;=0,"ต้องปรับปรุงเร่งด่วน")))))</f>
        <v>#DIV/0!</v>
      </c>
      <c r="G5" s="560"/>
      <c r="H5" s="559"/>
      <c r="I5" s="559"/>
      <c r="J5" s="559"/>
      <c r="K5" s="559"/>
      <c r="L5" s="559"/>
    </row>
    <row r="6" spans="1:12" ht="21.75" customHeight="1">
      <c r="A6" s="558" t="s">
        <v>889</v>
      </c>
      <c r="B6" s="557"/>
      <c r="C6" s="557"/>
      <c r="D6" s="557"/>
      <c r="E6" s="557"/>
      <c r="F6" s="528"/>
      <c r="G6" s="556"/>
    </row>
    <row r="7" spans="1:12" ht="21.75" customHeight="1">
      <c r="A7" s="531" t="s">
        <v>888</v>
      </c>
      <c r="B7" s="551"/>
      <c r="C7" s="555">
        <f>AVERAGE(ส.1!Q7,ส.1!Q17,ส.1!Q49,ส.1!Q51,ส.1!Q52,ส.1!Q59,ส.1!Q61)</f>
        <v>0</v>
      </c>
      <c r="D7" s="551">
        <f>AVERAGE(ส.1!Q55)</f>
        <v>0</v>
      </c>
      <c r="E7" s="551">
        <f>AVERAGE(ส.1!Q7,ส.1!Q17,ส.1!Q49,ส.1!Q51,ส.1!Q52,ส.1!Q59,ส.1!Q61,ส.1!Q55)</f>
        <v>0</v>
      </c>
      <c r="F7" s="528" t="str">
        <f>IF(E7&gt;4.5,"ระดับดีมาก",IF(E7&gt;3.5,"ระดับดี",IF(E7&gt;2.5,"ระดับพอใช้",IF(E7&gt;1.5,"ต้องปรับปรุง",IF(E7&gt;=0,"ต้องปรับปรุงเร่งด่วน")))))</f>
        <v>ต้องปรับปรุงเร่งด่วน</v>
      </c>
      <c r="G7" s="550"/>
    </row>
    <row r="8" spans="1:12" ht="21.75" customHeight="1">
      <c r="A8" s="531" t="s">
        <v>887</v>
      </c>
      <c r="B8" s="551" t="e">
        <f>AVERAGE(ส.1!Q13,ส.1!Q15,ส.1!Q18,ส.1!Q33)</f>
        <v>#DIV/0!</v>
      </c>
      <c r="C8" s="551">
        <f>AVERAGE(ส.1!Q12,ส.1!Q19,ส.1!Q20,ส.1!Q28,ส.1!Q29,ส.1!Q31,ส.1!Q38,ส.1!Q39,ส.1!Q45)</f>
        <v>0</v>
      </c>
      <c r="D8" s="551" t="e">
        <f>AVERAGE(ส.1!Q40,ส.1!Q41,ส.1!Q46,ส.1!Q47,ส.1!Q26,ส.1!Q62,ส.1!Q8:'ส.1'!Q10,ส.1!Q42:Q43)</f>
        <v>#DIV/0!</v>
      </c>
      <c r="E8" s="551" t="e">
        <f>AVERAGE(ส.1!Q13,ส.1!Q15,ส.1!Q18,ส.1!Q33,ส.1!Q12,ส.1!Q19,ส.1!Q20,ส.1!Q28,ส.1!Q29,ส.1!Q31,ส.1!Q38,ส.1!Q39,ส.1!Q45,ส.1!Q40:Q41,ส.1!Q46:Q47,ส.1!Q26,ส.1!Q62,ส.1!Q9,ส.1!Q42:Q43)</f>
        <v>#DIV/0!</v>
      </c>
      <c r="F8" s="528" t="e">
        <f>IF(E8&gt;4.5,"ระดับดีมาก",IF(E8&gt;3.5,"ระดับดี",IF(E8&gt;2.5,"ระดับพอใช้",IF(E8&gt;1.5,"ต้องปรับปรุง",IF(E8&gt;=0,"ต้องปรับปรุงเร่งด่วน")))))</f>
        <v>#DIV/0!</v>
      </c>
      <c r="G8" s="554"/>
      <c r="H8" s="553"/>
    </row>
    <row r="9" spans="1:12" ht="21.75" customHeight="1">
      <c r="A9" s="531" t="s">
        <v>886</v>
      </c>
      <c r="B9" s="552"/>
      <c r="C9" s="551">
        <f>AVERAGE(ส.1!Q32,ส.1!Q50)</f>
        <v>0</v>
      </c>
      <c r="D9" s="551" t="e">
        <f>AVERAGE(ส.1!Q34:Q36)</f>
        <v>#DIV/0!</v>
      </c>
      <c r="E9" s="551" t="e">
        <f>AVERAGE(ส.1!Q34:Q36,ส.1!Q33,ส.1!Q50)</f>
        <v>#DIV/0!</v>
      </c>
      <c r="F9" s="528" t="e">
        <f>IF(E9&gt;4.5,"ระดับดีมาก",IF(E9&gt;3.5,"ระดับดี",IF(E9&gt;2.5,"ระดับพอใช้",IF(E9&gt;1.5,"ต้องปรับปรุง",IF(E9&gt;=0,"ต้องปรับปรุงเร่งด่วน")))))</f>
        <v>#DIV/0!</v>
      </c>
      <c r="G9" s="550"/>
    </row>
    <row r="10" spans="1:12" ht="42.75">
      <c r="A10" s="526" t="s">
        <v>885</v>
      </c>
      <c r="B10" s="549" t="e">
        <f>AVERAGE(ส.1!Q13,ส.1!Q15,ส.1!Q18,ส.1!Q33)</f>
        <v>#DIV/0!</v>
      </c>
      <c r="C10" s="549">
        <f>AVERAGE(ส.1!Q7,ส.1!Q17,ส.1!Q49,ส.1!Q51,ส.1!Q52,ส.1!Q59,ส.1!Q61,ส.1!Q12,ส.1!Q19,ส.1!Q20,ส.1!Q28,ส.1!Q29,ส.1!Q31,ส.1!Q38,ส.1!Q39,ส.1!Q45,ส.1!Q32,ส.1!Q50)</f>
        <v>0</v>
      </c>
      <c r="D10" s="549" t="e">
        <f>AVERAGE(ส.1!Q21,ส.1!Q22:Q26,ส.1!Q40,ส.1!Q41,ส.1!Q46,ส.1!Q47,ส.1!Q26,ส.1!Q62,ส.1!Q8:'ส.1'!Q10,ส.1!Q42:Q43,ส.1!Q55,ส.1!Q34:Q36)</f>
        <v>#DIV/0!</v>
      </c>
      <c r="E10" s="548" t="e">
        <f>AVERAGE(ส.1!Q7:Q10,ส.1!Q12:Q18,ส.1!Q19:Q26,ส.1!Q28:Q29,ส.1!Q31:Q36,ส.1!Q38:Q43,ส.1!Q45:Q47,ส.1!Q49:Q55,ส.1!Q59,ส.1!Q61:Q62)</f>
        <v>#DIV/0!</v>
      </c>
      <c r="F10" s="547"/>
      <c r="G10" s="546"/>
    </row>
    <row r="11" spans="1:12" s="520" customFormat="1" ht="69.75" customHeight="1">
      <c r="A11" s="523" t="s">
        <v>60</v>
      </c>
      <c r="B11" s="522" t="e">
        <f>IF(B10&gt;4.5,"ระดับดีมาก",IF(B10&gt;3.5,"ระดับดี",IF(B10&gt;2.5,"ระดับพอใช้",IF(B10&gt;1.5,"ต้องปรับปรุง",IF(B10&gt;=0,"ต้องปรับปรุงเร่งด่วน")))))</f>
        <v>#DIV/0!</v>
      </c>
      <c r="C11" s="522" t="str">
        <f>IF(C10&gt;4.5,"ระดับดีมาก",IF(C10&gt;3.5,"ระดับดี",IF(C10&gt;2.5,"ระดับพอใช้",IF(C10&gt;1.5,"ต้องปรับปรุง",IF(C10&gt;=0,"ต้องปรับปรุงเร่งด่วน")))))</f>
        <v>ต้องปรับปรุงเร่งด่วน</v>
      </c>
      <c r="D11" s="522" t="e">
        <f>IF(D10&gt;4.5,"ระดับดีมาก",IF(D10&gt;3.5,"ระดับดี",IF(D10&gt;2.5,"ระดับพอใช้",IF(D10&gt;1.5,"ต้องปรับปรุง",IF(D10&gt;=0,"ต้องปรับปรุงเร่งด่วน")))))</f>
        <v>#DIV/0!</v>
      </c>
      <c r="E11" s="522" t="e">
        <f>IF(E10&gt;4.5,"ระดับดีมาก",IF(E10&gt;3.5,"ระดับดี",IF(E10&gt;2.5,"ระดับพอใช้",IF(E10&gt;1.5,"ต้องปรับปรุง",IF(E10&gt;=0,"ต้องปรับปรุงเร่งด่วน")))))</f>
        <v>#DIV/0!</v>
      </c>
      <c r="F11" s="545"/>
      <c r="G11" s="544"/>
      <c r="H11" s="543"/>
      <c r="I11" s="543"/>
      <c r="J11" s="543"/>
      <c r="K11" s="543"/>
      <c r="L11" s="543"/>
    </row>
    <row r="12" spans="1:12" ht="132.75" customHeight="1"/>
    <row r="13" spans="1:12">
      <c r="A13" s="542"/>
    </row>
    <row r="14" spans="1:12">
      <c r="A14" s="962"/>
      <c r="B14" s="962"/>
      <c r="C14" s="962"/>
      <c r="D14" s="962"/>
      <c r="E14" s="962"/>
      <c r="F14" s="962"/>
      <c r="G14" s="962"/>
    </row>
    <row r="15" spans="1:12">
      <c r="A15" s="962"/>
      <c r="B15" s="962"/>
      <c r="C15" s="962"/>
      <c r="D15" s="962"/>
      <c r="E15" s="962"/>
      <c r="F15" s="962"/>
      <c r="G15" s="962"/>
    </row>
    <row r="16" spans="1:12">
      <c r="A16" s="541"/>
      <c r="B16" s="539"/>
      <c r="C16" s="539"/>
      <c r="D16" s="539"/>
      <c r="E16" s="539"/>
      <c r="F16" s="539"/>
      <c r="G16" s="539"/>
    </row>
    <row r="17" spans="1:7" s="517" customFormat="1">
      <c r="A17" s="540"/>
      <c r="B17" s="539"/>
      <c r="C17" s="539"/>
      <c r="D17" s="539"/>
      <c r="E17" s="539"/>
      <c r="F17" s="539"/>
      <c r="G17" s="539"/>
    </row>
    <row r="18" spans="1:7" s="517" customFormat="1">
      <c r="A18" s="962"/>
      <c r="B18" s="962"/>
      <c r="C18" s="962"/>
      <c r="D18" s="962"/>
      <c r="E18" s="962"/>
      <c r="F18" s="962"/>
      <c r="G18" s="962"/>
    </row>
    <row r="19" spans="1:7" s="517" customFormat="1">
      <c r="A19" s="962"/>
      <c r="B19" s="962"/>
      <c r="C19" s="962"/>
      <c r="D19" s="962"/>
      <c r="E19" s="962"/>
      <c r="F19" s="962"/>
      <c r="G19" s="962"/>
    </row>
    <row r="20" spans="1:7" s="517" customFormat="1">
      <c r="A20" s="541"/>
      <c r="B20" s="539"/>
      <c r="C20" s="539"/>
      <c r="D20" s="539"/>
      <c r="E20" s="539"/>
      <c r="F20" s="539"/>
      <c r="G20" s="539"/>
    </row>
    <row r="21" spans="1:7" s="517" customFormat="1">
      <c r="A21" s="540"/>
      <c r="B21" s="539"/>
      <c r="C21" s="539"/>
      <c r="D21" s="539"/>
      <c r="E21" s="539"/>
      <c r="F21" s="539"/>
      <c r="G21" s="539"/>
    </row>
    <row r="22" spans="1:7" s="517" customFormat="1" ht="48" customHeight="1">
      <c r="A22" s="962"/>
      <c r="B22" s="962"/>
      <c r="C22" s="962"/>
      <c r="D22" s="962"/>
      <c r="E22" s="962"/>
      <c r="F22" s="962"/>
      <c r="G22" s="962"/>
    </row>
    <row r="23" spans="1:7" s="517" customFormat="1">
      <c r="A23" s="962"/>
      <c r="B23" s="962"/>
      <c r="C23" s="962"/>
      <c r="D23" s="962"/>
      <c r="E23" s="962"/>
      <c r="F23" s="962"/>
      <c r="G23" s="962"/>
    </row>
  </sheetData>
  <mergeCells count="12">
    <mergeCell ref="A14:G14"/>
    <mergeCell ref="F3:F4"/>
    <mergeCell ref="A1:G1"/>
    <mergeCell ref="A2:G2"/>
    <mergeCell ref="A3:A4"/>
    <mergeCell ref="G3:G4"/>
    <mergeCell ref="B3:E3"/>
    <mergeCell ref="A23:G23"/>
    <mergeCell ref="A18:G18"/>
    <mergeCell ref="A19:G19"/>
    <mergeCell ref="A22:G22"/>
    <mergeCell ref="A15:G15"/>
  </mergeCells>
  <pageMargins left="0.70866141732283472" right="0.39370078740157483" top="0.98425196850393704" bottom="0.98425196850393704" header="0.51181102362204722" footer="0.51181102362204722"/>
  <pageSetup paperSize="9" scale="85" orientation="landscape" verticalDpi="300" r:id="rId1"/>
  <headerFooter alignWithMargins="0">
    <oddHeader>&amp;R&amp;"Browallia New,Bold"&amp;14ภาคผนวก ก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D10" sqref="D10"/>
    </sheetView>
  </sheetViews>
  <sheetFormatPr defaultRowHeight="21.75"/>
  <cols>
    <col min="1" max="1" width="56.42578125" style="519" customWidth="1"/>
    <col min="2" max="2" width="9.42578125" style="518" customWidth="1"/>
    <col min="3" max="3" width="9.140625" style="517"/>
    <col min="4" max="4" width="8.7109375" style="517" customWidth="1"/>
    <col min="5" max="5" width="9.5703125" style="517" customWidth="1"/>
    <col min="6" max="6" width="40" style="517" customWidth="1"/>
    <col min="7" max="7" width="26.28515625" style="517" customWidth="1"/>
    <col min="8" max="16384" width="9.140625" style="517"/>
  </cols>
  <sheetData>
    <row r="1" spans="1:8" ht="23.25">
      <c r="A1" s="946" t="s">
        <v>941</v>
      </c>
      <c r="B1" s="946"/>
      <c r="C1" s="946"/>
      <c r="D1" s="946"/>
      <c r="E1" s="946"/>
      <c r="F1" s="946"/>
      <c r="G1" s="946"/>
    </row>
    <row r="2" spans="1:8" ht="23.25">
      <c r="A2" s="952" t="str">
        <f>ส.3!A2</f>
        <v>วิทยาลัยนวัตกรรมการจัดการ</v>
      </c>
      <c r="B2" s="952"/>
      <c r="C2" s="952"/>
      <c r="D2" s="952"/>
      <c r="E2" s="952"/>
      <c r="F2" s="952"/>
      <c r="G2" s="952"/>
    </row>
    <row r="3" spans="1:8" ht="132" customHeight="1">
      <c r="A3" s="947" t="s">
        <v>898</v>
      </c>
      <c r="B3" s="965" t="s">
        <v>881</v>
      </c>
      <c r="C3" s="966"/>
      <c r="D3" s="966"/>
      <c r="E3" s="967"/>
      <c r="F3" s="963" t="s">
        <v>891</v>
      </c>
      <c r="G3" s="950" t="s">
        <v>10</v>
      </c>
    </row>
    <row r="4" spans="1:8" ht="27" customHeight="1">
      <c r="A4" s="949"/>
      <c r="B4" s="537" t="s">
        <v>878</v>
      </c>
      <c r="C4" s="537" t="s">
        <v>877</v>
      </c>
      <c r="D4" s="537" t="s">
        <v>876</v>
      </c>
      <c r="E4" s="537" t="s">
        <v>1</v>
      </c>
      <c r="F4" s="964"/>
      <c r="G4" s="950"/>
    </row>
    <row r="5" spans="1:8" s="534" customFormat="1">
      <c r="A5" s="579" t="s">
        <v>897</v>
      </c>
      <c r="B5" s="580"/>
      <c r="C5" s="580">
        <f>AVERAGE(ส.1!Q19,ส.1!Q20,ส.1!Q28:Q29,ส.1!Q38:Q39)</f>
        <v>0</v>
      </c>
      <c r="D5" s="580" t="e">
        <f>AVERAGE(ส.1!Q21:Q23,ส.1!Q40:Q41,ส.1!Q42:Q43)</f>
        <v>#DIV/0!</v>
      </c>
      <c r="E5" s="580" t="e">
        <f>AVERAGE(ส.1!Q19,ส.1!Q20,ส.1!Q28:Q29,ส.1!Q38:Q39,ส.1!Q21,ส.1!Q22:Q23,ส.1!Q40:Q41,ส.1!Q42:Q43)</f>
        <v>#DIV/0!</v>
      </c>
      <c r="F5" s="574" t="e">
        <f>IF(E5&gt;4.5,"ระดับดีมาก",IF(E5&gt;3.5,"ระดับดี",IF(E5&gt;2.5,"ระดับพอใช้",IF(E9&gt;1.5,"ต้องปรับปรุง",IF(E5&gt;=0,"ต้องปรับปรุงเร่งด่วน")))))</f>
        <v>#DIV/0!</v>
      </c>
      <c r="G5" s="560"/>
    </row>
    <row r="6" spans="1:8" s="566" customFormat="1">
      <c r="A6" s="579" t="s">
        <v>896</v>
      </c>
      <c r="B6" s="575">
        <f>ส.1!Q18</f>
        <v>0</v>
      </c>
      <c r="C6" s="575">
        <f>AVERAGE(ส.1!Q7,ส.1!Q12,ส.1!Q17,ส.1!Q31,ส.1!Q45,ส.1!Q49,ส.1!Q51,ส.1!Q52,ส.1!Q61)</f>
        <v>0</v>
      </c>
      <c r="D6" s="575" t="e">
        <f>AVERAGE(ส.1!Q46:Q47,ส.1!Q55,ส.1!Q62,ส.1!Q8:'ส.1'!Q10)</f>
        <v>#DIV/0!</v>
      </c>
      <c r="E6" s="575" t="e">
        <f>AVERAGE(ส.1!Q7,ส.1!Q12,ส.1!Q17,ส.1!Q31,ส.1!Q45,ส.1!Q49,ส.1!Q51,ส.1!Q52,ส.1!Q61,ส.1!Q46:Q47,ส.1!Q55,ส.1!Q62,ส.1!Q9,ส.1!Q18)</f>
        <v>#DIV/0!</v>
      </c>
      <c r="F6" s="574" t="e">
        <f>IF(E6&gt;4.5,"ระดับดีมาก",IF(E6&gt;3.5,"ระดับดี",IF(E6&gt;2.5,"ระดับพอใช้",IF(E10&gt;1.5,"ต้องปรับปรุง",IF(E6&gt;=0,"ต้องปรับปรุงเร่งด่วน")))))</f>
        <v>#DIV/0!</v>
      </c>
      <c r="G6" s="554"/>
    </row>
    <row r="7" spans="1:8" s="518" customFormat="1">
      <c r="A7" s="578" t="s">
        <v>895</v>
      </c>
      <c r="B7" s="575" t="e">
        <f>ส.1!Q33</f>
        <v>#DIV/0!</v>
      </c>
      <c r="C7" s="575">
        <f>AVERAGE(ส.1!Q59)</f>
        <v>0</v>
      </c>
      <c r="D7" s="575"/>
      <c r="E7" s="575" t="e">
        <f>AVERAGE(ส.1!Q59,ส.1!Q33)</f>
        <v>#DIV/0!</v>
      </c>
      <c r="F7" s="574" t="e">
        <f>IF(E7&gt;4.5,"ระดับดีมาก",IF(E7&gt;3.5,"ระดับดี",IF(E7&gt;2.5,"ระดับพอใช้",IF(E11&gt;1.5,"ต้องปรับปรุง",IF(E7&gt;=0,"ต้องปรับปรุงเร่งด่วน")))))</f>
        <v>#DIV/0!</v>
      </c>
      <c r="G7" s="577"/>
    </row>
    <row r="8" spans="1:8" ht="42">
      <c r="A8" s="576" t="s">
        <v>894</v>
      </c>
      <c r="B8" s="575" t="e">
        <f>AVERAGE(ส.1!Q13:Q16)</f>
        <v>#DIV/0!</v>
      </c>
      <c r="C8" s="575" t="e">
        <f>AVERAGE(ส.1!Q33,ส.1!Q50)</f>
        <v>#DIV/0!</v>
      </c>
      <c r="D8" s="575" t="e">
        <f>AVERAGE(ส.1!Q34:Q36,ส.1!Q26)</f>
        <v>#DIV/0!</v>
      </c>
      <c r="E8" s="575" t="e">
        <f>AVERAGE(ส.1!Q34:Q36,ส.1!Q26,ส.1!Q33,ส.1!Q50,ส.1!Q13:Q16)</f>
        <v>#DIV/0!</v>
      </c>
      <c r="F8" s="574" t="e">
        <f>IF(E8&gt;4.5,"ระดับดีมาก",IF(E8&gt;3.5,"ระดับดี",IF(E8&gt;2.5,"ระดับพอใช้",IF(E12&gt;1.5,"ต้องปรับปรุง",IF(E8&gt;=0,"ต้องปรับปรุงเร่งด่วน")))))</f>
        <v>#DIV/0!</v>
      </c>
      <c r="G8" s="550"/>
      <c r="H8" s="573"/>
    </row>
    <row r="9" spans="1:8">
      <c r="A9" s="526" t="s">
        <v>893</v>
      </c>
      <c r="B9" s="549" t="e">
        <f>AVERAGE(ส.1!Q13:Q16,ส.1!Q33,ส.1!Q18)</f>
        <v>#DIV/0!</v>
      </c>
      <c r="C9" s="549" t="e">
        <f>AVERAGE(ส.1!Q7,ส.1!Q12,ส.1!Q17,ส.1!Q31,ส.1!Q45,ส.1!Q49,ส.1!Q51,ส.1!Q52,ส.1!Q61,ส.1!Q19,ส.1!Q20,ส.1!Q28:Q29,ส.1!Q38:Q39,ส.1!Q59,ส.1!Q33,ส.1!Q50)</f>
        <v>#DIV/0!</v>
      </c>
      <c r="D9" s="549" t="e">
        <f>AVERAGE(ส.1!Q21:Q23,ส.1!Q40:Q41,ส.1!Q42:Q43,ส.1!Q46:Q47,ส.1!Q55,ส.1!Q62,ส.1!Q8:'ส.1'!Q10,ส.1!Q34:Q36,ส.1!Q26)</f>
        <v>#DIV/0!</v>
      </c>
      <c r="E9" s="549" t="e">
        <f>AVERAGE(ส.1!Q7:Q10,ส.1!Q12:Q18,ส.1!Q19:Q26,ส.1!Q28:Q29,ส.1!Q31:Q36,ส.1!Q38:Q43,ส.1!Q45:Q47,ส.1!Q49:Q55,ส.1!Q59,ส.1!Q61:Q62)</f>
        <v>#DIV/0!</v>
      </c>
      <c r="F9" s="547"/>
      <c r="G9" s="546"/>
    </row>
    <row r="10" spans="1:8" ht="77.25" customHeight="1">
      <c r="A10" s="572" t="s">
        <v>60</v>
      </c>
      <c r="B10" s="522" t="e">
        <f>IF(B9&gt;4.5,"ระดับดีมาก",IF(B9&gt;3.5,"ระดับดี",IF(B9&gt;2.5,"ระดับพอใช้",IF(B9&gt;1.5,"ต้องปรับปรุง",IF(B9&gt;=0,"ต้องปรับปรุงเร่งด่วน")))))</f>
        <v>#DIV/0!</v>
      </c>
      <c r="C10" s="522" t="e">
        <f>IF(C9&gt;4.5,"ระดับดีมาก",IF(C9&gt;3.5,"ระดับดี",IF(C9&gt;2.5,"ระดับพอใช้",IF(C9&gt;1.5,"ต้องปรับปรุง",IF(C9&gt;=0,"ต้องปรับปรุงเร่งด่วน")))))</f>
        <v>#DIV/0!</v>
      </c>
      <c r="D10" s="522" t="e">
        <f>IF(D9&gt;4.5,"ระดับดีมาก",IF(D9&gt;3.5,"ระดับดี",IF(D9&gt;2.5,"ระดับพอใช้",IF(D9&gt;1.5,"ต้องปรับปรุง",IF(D9&gt;=0,"ต้องปรับปรุงเร่งด่วน")))))</f>
        <v>#DIV/0!</v>
      </c>
      <c r="E10" s="522" t="e">
        <f>IF(E9&gt;4.5,"ระดับดีมาก",IF(E9&gt;3.5,"ระดับดี",IF(E9&gt;2.5,"ระดับพอใช้",IF(E9&gt;1.5,"ต้องปรับปรุง",IF(E9&gt;=0,"ต้องปรับปรุงเร่งด่วน")))))</f>
        <v>#DIV/0!</v>
      </c>
      <c r="F10" s="571"/>
      <c r="G10" s="570"/>
    </row>
    <row r="11" spans="1:8" ht="122.25" customHeight="1"/>
    <row r="12" spans="1:8">
      <c r="A12" s="568"/>
    </row>
    <row r="13" spans="1:8" ht="66" customHeight="1">
      <c r="A13" s="970"/>
      <c r="B13" s="970"/>
      <c r="C13" s="970"/>
      <c r="D13" s="970"/>
      <c r="E13" s="970"/>
      <c r="F13" s="970"/>
      <c r="G13" s="970"/>
      <c r="H13" s="569"/>
    </row>
    <row r="14" spans="1:8" ht="44.25" customHeight="1">
      <c r="A14" s="970"/>
      <c r="B14" s="970"/>
      <c r="C14" s="970"/>
      <c r="D14" s="970"/>
      <c r="E14" s="970"/>
      <c r="F14" s="970"/>
      <c r="G14" s="970"/>
      <c r="H14" s="569"/>
    </row>
    <row r="15" spans="1:8">
      <c r="A15" s="568"/>
      <c r="B15" s="567"/>
      <c r="C15" s="566"/>
      <c r="D15" s="566"/>
      <c r="E15" s="566"/>
      <c r="F15" s="566"/>
      <c r="G15" s="566"/>
    </row>
    <row r="16" spans="1:8">
      <c r="A16" s="968"/>
      <c r="B16" s="968"/>
      <c r="C16" s="968"/>
      <c r="D16" s="968"/>
      <c r="E16" s="968"/>
      <c r="F16" s="968"/>
      <c r="G16" s="968"/>
    </row>
    <row r="17" spans="1:8">
      <c r="A17" s="968"/>
      <c r="B17" s="968"/>
      <c r="C17" s="968"/>
      <c r="D17" s="968"/>
      <c r="E17" s="968"/>
      <c r="F17" s="968"/>
      <c r="G17" s="968"/>
    </row>
    <row r="18" spans="1:8" ht="48.75" customHeight="1">
      <c r="A18" s="970"/>
      <c r="B18" s="970"/>
      <c r="C18" s="970"/>
      <c r="D18" s="970"/>
      <c r="E18" s="970"/>
      <c r="F18" s="970"/>
      <c r="G18" s="970"/>
      <c r="H18" s="569"/>
    </row>
    <row r="19" spans="1:8">
      <c r="A19" s="568"/>
      <c r="B19" s="567"/>
      <c r="C19" s="566"/>
      <c r="D19" s="566"/>
      <c r="E19" s="566"/>
      <c r="F19" s="566"/>
      <c r="G19" s="566"/>
    </row>
    <row r="20" spans="1:8">
      <c r="A20" s="968"/>
      <c r="B20" s="968"/>
      <c r="C20" s="968"/>
      <c r="D20" s="968"/>
      <c r="E20" s="968"/>
      <c r="F20" s="968"/>
      <c r="G20" s="968"/>
      <c r="H20" s="565"/>
    </row>
    <row r="21" spans="1:8">
      <c r="A21" s="968"/>
      <c r="B21" s="968"/>
      <c r="C21" s="968"/>
      <c r="D21" s="968"/>
      <c r="E21" s="968"/>
      <c r="F21" s="968"/>
      <c r="G21" s="968"/>
    </row>
    <row r="22" spans="1:8" ht="44.25" customHeight="1">
      <c r="A22" s="969"/>
      <c r="B22" s="969"/>
      <c r="C22" s="969"/>
      <c r="D22" s="969"/>
      <c r="E22" s="969"/>
      <c r="F22" s="969"/>
      <c r="G22" s="969"/>
      <c r="H22" s="564"/>
    </row>
  </sheetData>
  <mergeCells count="14">
    <mergeCell ref="A20:G20"/>
    <mergeCell ref="A21:G21"/>
    <mergeCell ref="A22:G22"/>
    <mergeCell ref="A1:G1"/>
    <mergeCell ref="A2:G2"/>
    <mergeCell ref="A3:A4"/>
    <mergeCell ref="G3:G4"/>
    <mergeCell ref="B3:E3"/>
    <mergeCell ref="F3:F4"/>
    <mergeCell ref="A13:G13"/>
    <mergeCell ref="A14:G14"/>
    <mergeCell ref="A16:G16"/>
    <mergeCell ref="A17:G17"/>
    <mergeCell ref="A18:G18"/>
  </mergeCells>
  <pageMargins left="0.6" right="0.47" top="1" bottom="1" header="0.5" footer="0.5"/>
  <pageSetup paperSize="9" scale="86" orientation="landscape" verticalDpi="300" r:id="rId1"/>
  <headerFooter alignWithMargins="0">
    <oddHeader>&amp;R&amp;"Browallia New,Bold"&amp;14ภาคผนวก ก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30"/>
  <sheetViews>
    <sheetView zoomScaleNormal="100" workbookViewId="0">
      <selection activeCell="I3" sqref="I3"/>
    </sheetView>
  </sheetViews>
  <sheetFormatPr defaultRowHeight="21.75"/>
  <cols>
    <col min="1" max="1" width="56.42578125" style="519" customWidth="1"/>
    <col min="2" max="2" width="9.42578125" style="518" customWidth="1"/>
    <col min="3" max="3" width="9.140625" style="517"/>
    <col min="4" max="4" width="8.7109375" style="517" customWidth="1"/>
    <col min="5" max="5" width="9.5703125" style="517" customWidth="1"/>
    <col min="6" max="6" width="40" style="517" customWidth="1"/>
    <col min="7" max="7" width="21.42578125" style="517" customWidth="1"/>
    <col min="8" max="16384" width="9.140625" style="517"/>
  </cols>
  <sheetData>
    <row r="1" spans="1:7" ht="23.25">
      <c r="A1" s="946" t="s">
        <v>942</v>
      </c>
      <c r="B1" s="946"/>
      <c r="C1" s="946"/>
      <c r="D1" s="946"/>
      <c r="E1" s="946"/>
      <c r="F1" s="946"/>
      <c r="G1" s="946"/>
    </row>
    <row r="2" spans="1:7" ht="23.25">
      <c r="A2" s="952" t="str">
        <f>ส.4!A2</f>
        <v>วิทยาลัยนวัตกรรมการจัดการ</v>
      </c>
      <c r="B2" s="952"/>
      <c r="C2" s="952"/>
      <c r="D2" s="952"/>
      <c r="E2" s="952"/>
      <c r="F2" s="952"/>
      <c r="G2" s="952"/>
    </row>
    <row r="3" spans="1:7" ht="132" customHeight="1">
      <c r="A3" s="947" t="s">
        <v>912</v>
      </c>
      <c r="B3" s="965" t="s">
        <v>881</v>
      </c>
      <c r="C3" s="966"/>
      <c r="D3" s="966"/>
      <c r="E3" s="967"/>
      <c r="F3" s="963" t="s">
        <v>891</v>
      </c>
      <c r="G3" s="950" t="s">
        <v>10</v>
      </c>
    </row>
    <row r="4" spans="1:7" ht="27" customHeight="1">
      <c r="A4" s="949"/>
      <c r="B4" s="537" t="s">
        <v>878</v>
      </c>
      <c r="C4" s="537" t="s">
        <v>877</v>
      </c>
      <c r="D4" s="537" t="s">
        <v>876</v>
      </c>
      <c r="E4" s="537" t="s">
        <v>1</v>
      </c>
      <c r="F4" s="964"/>
      <c r="G4" s="950"/>
    </row>
    <row r="5" spans="1:7" s="534" customFormat="1">
      <c r="A5" s="579" t="s">
        <v>911</v>
      </c>
      <c r="B5" s="580"/>
      <c r="C5" s="580"/>
      <c r="D5" s="580"/>
      <c r="E5" s="580"/>
      <c r="F5" s="574"/>
      <c r="G5" s="560"/>
    </row>
    <row r="6" spans="1:7" s="566" customFormat="1">
      <c r="A6" s="579" t="s">
        <v>910</v>
      </c>
      <c r="B6" s="575">
        <f>ส.1!Q18</f>
        <v>0</v>
      </c>
      <c r="C6" s="575"/>
      <c r="D6" s="575"/>
      <c r="E6" s="575">
        <f>ส.1!Q18</f>
        <v>0</v>
      </c>
      <c r="F6" s="574" t="str">
        <f t="shared" ref="F6:F16" si="0">IF(E6&gt;4.5,"ระดับดีมาก",IF(E6&gt;3.5,"ระดับดี",IF(E6&gt;2.5,"ระดับพอใช้",IF(E6&gt;1.5,"ต้องปรับปรุง",IF(E6&gt;=0,"ต้องปรับปรุงเร่งด่วน")))))</f>
        <v>ต้องปรับปรุงเร่งด่วน</v>
      </c>
      <c r="G6" s="586"/>
    </row>
    <row r="7" spans="1:7" s="518" customFormat="1">
      <c r="A7" s="578" t="s">
        <v>909</v>
      </c>
      <c r="B7" s="575" t="e">
        <f>AVERAGE(ส.1!Q13:Q16)</f>
        <v>#DIV/0!</v>
      </c>
      <c r="C7" s="575">
        <f>AVERAGE(ส.1!Q12,ส.1!Q17,ส.1!Q19)</f>
        <v>0</v>
      </c>
      <c r="D7" s="575" t="e">
        <f>ส.1!Q26</f>
        <v>#DIV/0!</v>
      </c>
      <c r="E7" s="575" t="e">
        <f>AVERAGE(ส.1!Q13:Q16,ส.1!Q12,ส.1!Q17,ส.1!Q19,ส.1!Q26)</f>
        <v>#DIV/0!</v>
      </c>
      <c r="F7" s="574" t="e">
        <f t="shared" si="0"/>
        <v>#DIV/0!</v>
      </c>
      <c r="G7" s="577"/>
    </row>
    <row r="8" spans="1:7" s="518" customFormat="1">
      <c r="A8" s="578" t="s">
        <v>908</v>
      </c>
      <c r="B8" s="575"/>
      <c r="C8" s="575">
        <f>AVERAGE(ส.1!Q59)</f>
        <v>0</v>
      </c>
      <c r="D8" s="575"/>
      <c r="E8" s="575">
        <f>AVERAGE(ส.1!Q59)</f>
        <v>0</v>
      </c>
      <c r="F8" s="574" t="str">
        <f t="shared" si="0"/>
        <v>ต้องปรับปรุงเร่งด่วน</v>
      </c>
      <c r="G8" s="577"/>
    </row>
    <row r="9" spans="1:7" s="518" customFormat="1">
      <c r="A9" s="578" t="s">
        <v>907</v>
      </c>
      <c r="B9" s="575"/>
      <c r="C9" s="575">
        <f>AVERAGE(ส.1!Q7,ส.1!Q49,ส.1!Q50,ส.1!Q51,ส.1!Q52,ส.1!Q61)</f>
        <v>0</v>
      </c>
      <c r="D9" s="575" t="e">
        <f>AVERAGE(ส.1!Q55,ส.1!Q62,ส.1!Q8:'ส.1'!Q10)</f>
        <v>#DIV/0!</v>
      </c>
      <c r="E9" s="575" t="e">
        <f>AVERAGE(ส.1!Q7,ส.1!Q49,ส.1!Q50,ส.1!Q51,ส.1!Q52,ส.1!Q61,ส.1!Q55,ส.1!Q62,ส.1!Q9)</f>
        <v>#DIV/0!</v>
      </c>
      <c r="F9" s="574" t="e">
        <f t="shared" si="0"/>
        <v>#DIV/0!</v>
      </c>
      <c r="G9" s="554"/>
    </row>
    <row r="10" spans="1:7" s="518" customFormat="1">
      <c r="A10" s="585" t="s">
        <v>906</v>
      </c>
      <c r="B10" s="584" t="e">
        <f>AVERAGE(ส.1!Q13:Q16,ส.1!Q18)</f>
        <v>#DIV/0!</v>
      </c>
      <c r="C10" s="584">
        <f>AVERAGE(ส.1!Q7,ส.1!Q49,ส.1!Q50,ส.1!Q51,ส.1!Q52,ส.1!Q61,ส.1!Q59,ส.1!Q12,ส.1!Q17,ส.1!Q19)</f>
        <v>0</v>
      </c>
      <c r="D10" s="584" t="e">
        <f>AVERAGE(ส.1!Q55,ส.1!Q62,ส.1!Q8:'ส.1'!Q10,ส.1!Q26)</f>
        <v>#DIV/0!</v>
      </c>
      <c r="E10" s="584" t="e">
        <f>AVERAGE(ส.1!Q7,ส.1!Q49,ส.1!Q50,ส.1!Q51,ส.1!Q52,ส.1!Q61,ส.1!Q55,ส.1!Q62,ส.1!Q9,ส.1!Q59,ส.1!Q13:Q16,ส.1!Q12,ส.1!Q17,ส.1!Q19,ส.1!Q26,ส.1!Q18)</f>
        <v>#DIV/0!</v>
      </c>
      <c r="F10" s="583" t="e">
        <f t="shared" si="0"/>
        <v>#DIV/0!</v>
      </c>
      <c r="G10" s="582"/>
    </row>
    <row r="11" spans="1:7" s="518" customFormat="1" ht="19.5" customHeight="1">
      <c r="A11" s="578" t="s">
        <v>905</v>
      </c>
      <c r="B11" s="575"/>
      <c r="C11" s="575"/>
      <c r="D11" s="575"/>
      <c r="E11" s="575"/>
      <c r="F11" s="574" t="str">
        <f t="shared" si="0"/>
        <v>ต้องปรับปรุงเร่งด่วน</v>
      </c>
      <c r="G11" s="577"/>
    </row>
    <row r="12" spans="1:7" s="518" customFormat="1">
      <c r="A12" s="578" t="s">
        <v>904</v>
      </c>
      <c r="B12" s="575"/>
      <c r="C12" s="575">
        <f>AVERAGE(ส.1!Q20,ส.1!Q28:Q29)</f>
        <v>0</v>
      </c>
      <c r="D12" s="575" t="e">
        <f>AVERAGE(ส.1!Q21,ส.1!Q22:Q23)</f>
        <v>#DIV/0!</v>
      </c>
      <c r="E12" s="575" t="e">
        <f>AVERAGE(ส.1!Q21,ส.1!Q22:Q23,ส.1!Q20,ส.1!Q28:Q29)</f>
        <v>#DIV/0!</v>
      </c>
      <c r="F12" s="574" t="e">
        <f t="shared" si="0"/>
        <v>#DIV/0!</v>
      </c>
      <c r="G12" s="577"/>
    </row>
    <row r="13" spans="1:7" s="518" customFormat="1">
      <c r="A13" s="578" t="s">
        <v>903</v>
      </c>
      <c r="B13" s="575" t="e">
        <f>ส.1!Q33</f>
        <v>#DIV/0!</v>
      </c>
      <c r="C13" s="575">
        <f>AVERAGE(ส.1!Q31:Q32)</f>
        <v>0</v>
      </c>
      <c r="D13" s="575" t="e">
        <f>AVERAGE(ส.1!Q34:Q36)</f>
        <v>#DIV/0!</v>
      </c>
      <c r="E13" s="575" t="e">
        <f>AVERAGE(ส.1!Q31:Q36)</f>
        <v>#DIV/0!</v>
      </c>
      <c r="F13" s="574" t="e">
        <f t="shared" si="0"/>
        <v>#DIV/0!</v>
      </c>
      <c r="G13" s="577"/>
    </row>
    <row r="14" spans="1:7" s="518" customFormat="1">
      <c r="A14" s="578" t="s">
        <v>902</v>
      </c>
      <c r="B14" s="575"/>
      <c r="C14" s="575">
        <f>AVERAGE(ส.1!Q38:Q39)</f>
        <v>0</v>
      </c>
      <c r="D14" s="575">
        <f>AVERAGE(ส.1!Q40:Q43)</f>
        <v>0</v>
      </c>
      <c r="E14" s="575">
        <f>AVERAGE(ส.1!Q38:Q43)</f>
        <v>0</v>
      </c>
      <c r="F14" s="574" t="str">
        <f t="shared" si="0"/>
        <v>ต้องปรับปรุงเร่งด่วน</v>
      </c>
      <c r="G14" s="577"/>
    </row>
    <row r="15" spans="1:7" s="518" customFormat="1">
      <c r="A15" s="578" t="s">
        <v>901</v>
      </c>
      <c r="B15" s="575"/>
      <c r="C15" s="575">
        <f>ส.1!Q45</f>
        <v>0</v>
      </c>
      <c r="D15" s="575">
        <f>AVERAGE(ส.1!Q46:Q47)</f>
        <v>0</v>
      </c>
      <c r="E15" s="575">
        <f>AVERAGE(ส.1!Q45:Q47)</f>
        <v>0</v>
      </c>
      <c r="F15" s="574" t="str">
        <f t="shared" si="0"/>
        <v>ต้องปรับปรุงเร่งด่วน</v>
      </c>
      <c r="G15" s="577"/>
    </row>
    <row r="16" spans="1:7" s="518" customFormat="1">
      <c r="A16" s="585" t="s">
        <v>900</v>
      </c>
      <c r="B16" s="584" t="e">
        <f>ส.1!Q33</f>
        <v>#DIV/0!</v>
      </c>
      <c r="C16" s="584">
        <f>AVERAGE(ส.1!Q20,ส.1!Q28:Q29,ส.1!Q31:Q32,ส.1!Q38:Q39,ส.1!Q45)</f>
        <v>0</v>
      </c>
      <c r="D16" s="584" t="e">
        <f>AVERAGE(ส.1!Q21,ส.1!Q22:Q23,ส.1!Q34:Q36,ส.1!Q40:Q43,ส.1!Q46:Q47)</f>
        <v>#DIV/0!</v>
      </c>
      <c r="E16" s="584" t="e">
        <f>AVERAGE(ส.1!Q21,ส.1!Q22:Q23,ส.1!Q20,ส.1!Q28:Q29,ส.1!Q31:Q36,ส.1!Q38:Q43,ส.1!Q45:Q47)</f>
        <v>#DIV/0!</v>
      </c>
      <c r="F16" s="583" t="e">
        <f t="shared" si="0"/>
        <v>#DIV/0!</v>
      </c>
      <c r="G16" s="582"/>
    </row>
    <row r="17" spans="1:8">
      <c r="A17" s="581" t="s">
        <v>899</v>
      </c>
      <c r="B17" s="549" t="e">
        <f>AVERAGE(ส.1!Q13:Q16,ส.1!Q18,ส.1!Q33)</f>
        <v>#DIV/0!</v>
      </c>
      <c r="C17" s="549">
        <f>AVERAGE(ส.1!Q7,ส.1!Q49,ส.1!Q50,ส.1!Q51,ส.1!Q52,ส.1!Q61,ส.1!Q59,ส.1!Q12,ส.1!Q17,ส.1!Q19,ส.1!Q20,ส.1!Q28:Q29,ส.1!Q31:Q32,ส.1!Q38:Q39,ส.1!Q45)</f>
        <v>0</v>
      </c>
      <c r="D17" s="549" t="e">
        <f>AVERAGE(ส.1!Q55,ส.1!Q62,ส.1!Q8:'ส.1'!Q10,ส.1!Q26,ส.1!Q21,ส.1!Q22:Q23,ส.1!Q34:Q36,ส.1!Q40:Q43,ส.1!Q46:Q47)</f>
        <v>#DIV/0!</v>
      </c>
      <c r="E17" s="549" t="e">
        <f>AVERAGE(ส.1!Q7:Q10,ส.1!Q12:Q18,ส.1!Q19:Q26,ส.1!Q28:Q29,ส.1!Q31:Q36,ส.1!Q38:Q43,ส.1!Q45:Q47,ส.1!Q49:Q55,ส.1!Q59,ส.1!Q61:Q62)</f>
        <v>#DIV/0!</v>
      </c>
      <c r="F17" s="547"/>
      <c r="G17" s="546"/>
    </row>
    <row r="18" spans="1:8" ht="57" customHeight="1">
      <c r="A18" s="572" t="s">
        <v>60</v>
      </c>
      <c r="B18" s="522" t="e">
        <f>IF(B17&gt;4.5,"ระดับดีมาก",IF(B17&gt;3.5,"ระดับดี",IF(B17&gt;2.5,"ระดับพอใช้",IF(B17&gt;1.5,"ต้องปรับปรุงเร่งด่วน",IF(B17&gt;=0,"ต้องปรับปรุงเร่งด่วน")))))</f>
        <v>#DIV/0!</v>
      </c>
      <c r="C18" s="522" t="str">
        <f>IF(C17&gt;4.5,"ระดับดีมาก",IF(C17&gt;3.5,"ระดับดี",IF(C17&gt;2.5,"ระดับพอใช้",IF(C17&gt;1.5,"ต้องปรับปรุงเร่งด่วน",IF(C17&gt;=0,"ต้องปรับปรุงเร่งด่วน")))))</f>
        <v>ต้องปรับปรุงเร่งด่วน</v>
      </c>
      <c r="D18" s="522" t="e">
        <f>IF(D17&gt;4.5,"ระดับดีมาก",IF(D17&gt;3.5,"ระดับดี",IF(D17&gt;2.5,"ระดับพอใช้",IF(D17&gt;1.5,"ต้องปรับปรุงเร่งด่วน",IF(D17&gt;=0,"ต้องปรับปรุงเร่งด่วน")))))</f>
        <v>#DIV/0!</v>
      </c>
      <c r="E18" s="522" t="e">
        <f>IF(E17&gt;4.5,"ระดับดีมาก",IF(E17&gt;3.5,"ระดับดี",IF(E17&gt;2.5,"ระดับพอใช้",IF(E17&gt;1.5,"ต้องปรับปรุงเร่งด่วน",IF(E17&gt;=0,"ต้องปรับปรุงเร่งด่วน")))))</f>
        <v>#DIV/0!</v>
      </c>
      <c r="F18" s="571"/>
      <c r="G18" s="570"/>
    </row>
    <row r="19" spans="1:8" ht="122.25" customHeight="1"/>
    <row r="20" spans="1:8">
      <c r="A20" s="568"/>
    </row>
    <row r="21" spans="1:8" ht="66" customHeight="1">
      <c r="A21" s="970"/>
      <c r="B21" s="970"/>
      <c r="C21" s="970"/>
      <c r="D21" s="970"/>
      <c r="E21" s="970"/>
      <c r="F21" s="970"/>
      <c r="G21" s="970"/>
      <c r="H21" s="569"/>
    </row>
    <row r="22" spans="1:8" ht="44.25" customHeight="1">
      <c r="A22" s="970"/>
      <c r="B22" s="970"/>
      <c r="C22" s="970"/>
      <c r="D22" s="970"/>
      <c r="E22" s="970"/>
      <c r="F22" s="970"/>
      <c r="G22" s="970"/>
      <c r="H22" s="569"/>
    </row>
    <row r="23" spans="1:8">
      <c r="A23" s="568"/>
      <c r="B23" s="567"/>
      <c r="C23" s="566"/>
      <c r="D23" s="566"/>
      <c r="E23" s="566"/>
      <c r="F23" s="566"/>
      <c r="G23" s="566"/>
    </row>
    <row r="24" spans="1:8">
      <c r="A24" s="968"/>
      <c r="B24" s="968"/>
      <c r="C24" s="968"/>
      <c r="D24" s="968"/>
      <c r="E24" s="968"/>
      <c r="F24" s="968"/>
      <c r="G24" s="968"/>
    </row>
    <row r="25" spans="1:8">
      <c r="A25" s="968"/>
      <c r="B25" s="968"/>
      <c r="C25" s="968"/>
      <c r="D25" s="968"/>
      <c r="E25" s="968"/>
      <c r="F25" s="968"/>
      <c r="G25" s="968"/>
    </row>
    <row r="26" spans="1:8" ht="48.75" customHeight="1">
      <c r="A26" s="970"/>
      <c r="B26" s="970"/>
      <c r="C26" s="970"/>
      <c r="D26" s="970"/>
      <c r="E26" s="970"/>
      <c r="F26" s="970"/>
      <c r="G26" s="970"/>
      <c r="H26" s="569"/>
    </row>
    <row r="27" spans="1:8">
      <c r="A27" s="568"/>
      <c r="B27" s="567"/>
      <c r="C27" s="566"/>
      <c r="D27" s="566"/>
      <c r="E27" s="566"/>
      <c r="F27" s="566"/>
      <c r="G27" s="566"/>
    </row>
    <row r="28" spans="1:8">
      <c r="A28" s="968"/>
      <c r="B28" s="968"/>
      <c r="C28" s="968"/>
      <c r="D28" s="968"/>
      <c r="E28" s="968"/>
      <c r="F28" s="968"/>
      <c r="G28" s="968"/>
      <c r="H28" s="565"/>
    </row>
    <row r="29" spans="1:8">
      <c r="A29" s="968"/>
      <c r="B29" s="968"/>
      <c r="C29" s="968"/>
      <c r="D29" s="968"/>
      <c r="E29" s="968"/>
      <c r="F29" s="968"/>
      <c r="G29" s="968"/>
    </row>
    <row r="30" spans="1:8" ht="44.25" customHeight="1">
      <c r="A30" s="969"/>
      <c r="B30" s="969"/>
      <c r="C30" s="969"/>
      <c r="D30" s="969"/>
      <c r="E30" s="969"/>
      <c r="F30" s="969"/>
      <c r="G30" s="969"/>
      <c r="H30" s="564"/>
    </row>
  </sheetData>
  <mergeCells count="14">
    <mergeCell ref="A30:G30"/>
    <mergeCell ref="A22:G22"/>
    <mergeCell ref="A24:G24"/>
    <mergeCell ref="A25:G25"/>
    <mergeCell ref="A26:G26"/>
    <mergeCell ref="A28:G28"/>
    <mergeCell ref="A29:G29"/>
    <mergeCell ref="A21:G21"/>
    <mergeCell ref="A1:G1"/>
    <mergeCell ref="A2:G2"/>
    <mergeCell ref="A3:A4"/>
    <mergeCell ref="B3:E3"/>
    <mergeCell ref="G3:G4"/>
    <mergeCell ref="F3:F4"/>
  </mergeCells>
  <pageMargins left="0.6" right="0.47" top="1" bottom="1" header="0.5" footer="0.5"/>
  <pageSetup paperSize="9" scale="85" orientation="landscape" verticalDpi="300" r:id="rId1"/>
  <headerFooter alignWithMargins="0">
    <oddHeader>&amp;R&amp;"Browallia New,Bold"&amp;14ภาคผนวก ก</oddHeader>
  </headerFooter>
  <rowBreaks count="1" manualBreakCount="1">
    <brk id="18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O217"/>
  <sheetViews>
    <sheetView workbookViewId="0">
      <pane ySplit="4" topLeftCell="A151" activePane="bottomLeft" state="frozen"/>
      <selection pane="bottomLeft" activeCell="A149" sqref="A149:G149"/>
    </sheetView>
  </sheetViews>
  <sheetFormatPr defaultRowHeight="12.75"/>
  <cols>
    <col min="1" max="1" width="5.140625" customWidth="1"/>
    <col min="2" max="2" width="5.85546875" customWidth="1"/>
    <col min="9" max="9" width="12.5703125" customWidth="1"/>
    <col min="10" max="10" width="15.85546875" customWidth="1"/>
  </cols>
  <sheetData>
    <row r="1" spans="1:15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51"/>
      <c r="N1" s="16"/>
      <c r="O1" s="16"/>
    </row>
    <row r="2" spans="1:15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51"/>
      <c r="N2" s="16"/>
      <c r="O2" s="16"/>
    </row>
    <row r="3" spans="1:15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51"/>
      <c r="N3" s="16"/>
      <c r="O3" s="16"/>
    </row>
    <row r="4" spans="1:15" ht="25.5" customHeight="1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52"/>
      <c r="N4" s="52"/>
      <c r="O4" s="51"/>
    </row>
    <row r="5" spans="1:15" ht="16.5" customHeight="1" thickBot="1">
      <c r="A5" s="13"/>
      <c r="B5" s="13"/>
      <c r="C5" s="13"/>
      <c r="D5" s="13"/>
      <c r="E5" s="13"/>
      <c r="F5" s="13"/>
      <c r="G5" s="34"/>
      <c r="M5" s="52"/>
      <c r="N5" s="52"/>
      <c r="O5" s="51"/>
    </row>
    <row r="6" spans="1:15" ht="24" thickBot="1">
      <c r="A6" s="140" t="s">
        <v>970</v>
      </c>
      <c r="B6" s="140"/>
      <c r="C6" s="140"/>
      <c r="D6" s="140"/>
      <c r="E6" s="140"/>
      <c r="F6" s="140"/>
      <c r="H6" s="977" t="s">
        <v>827</v>
      </c>
      <c r="I6" s="978"/>
      <c r="J6" s="979"/>
    </row>
    <row r="7" spans="1:15" ht="23.25">
      <c r="A7" s="82"/>
      <c r="B7" s="974" t="s">
        <v>554</v>
      </c>
      <c r="C7" s="974"/>
      <c r="D7" s="974"/>
      <c r="E7" s="974"/>
      <c r="F7" s="974"/>
    </row>
    <row r="8" spans="1:15" ht="23.25">
      <c r="A8" s="975" t="s">
        <v>555</v>
      </c>
      <c r="B8" s="975"/>
      <c r="C8" s="975"/>
      <c r="D8" s="975"/>
      <c r="E8" s="975"/>
      <c r="F8" s="975"/>
      <c r="G8" s="975"/>
      <c r="H8" s="976" t="s">
        <v>556</v>
      </c>
      <c r="I8" s="976"/>
      <c r="J8" s="976"/>
      <c r="K8" s="976"/>
      <c r="L8" s="976"/>
    </row>
    <row r="9" spans="1:15" ht="23.25">
      <c r="A9" s="971">
        <v>1</v>
      </c>
      <c r="B9" s="971"/>
      <c r="C9" s="971"/>
      <c r="D9" s="971"/>
      <c r="E9" s="971"/>
      <c r="F9" s="971"/>
      <c r="G9" s="971"/>
      <c r="H9" s="972">
        <v>1</v>
      </c>
      <c r="I9" s="972"/>
      <c r="J9" s="972"/>
      <c r="K9" s="972"/>
      <c r="L9" s="972"/>
    </row>
    <row r="10" spans="1:15" ht="23.25">
      <c r="A10" s="971">
        <v>2</v>
      </c>
      <c r="B10" s="971"/>
      <c r="C10" s="971"/>
      <c r="D10" s="971"/>
      <c r="E10" s="971"/>
      <c r="F10" s="971"/>
      <c r="G10" s="971"/>
      <c r="H10" s="972">
        <v>2</v>
      </c>
      <c r="I10" s="972"/>
      <c r="J10" s="972"/>
      <c r="K10" s="972"/>
      <c r="L10" s="972"/>
    </row>
    <row r="11" spans="1:15" ht="23.25">
      <c r="A11" s="971">
        <v>3</v>
      </c>
      <c r="B11" s="971"/>
      <c r="C11" s="971"/>
      <c r="D11" s="971"/>
      <c r="E11" s="971"/>
      <c r="F11" s="971"/>
      <c r="G11" s="971"/>
      <c r="H11" s="973">
        <v>3</v>
      </c>
      <c r="I11" s="973"/>
      <c r="J11" s="973"/>
      <c r="K11" s="973"/>
      <c r="L11" s="973"/>
    </row>
    <row r="12" spans="1:15" ht="18.75" customHeight="1">
      <c r="A12" s="428"/>
      <c r="B12" s="428"/>
      <c r="C12" s="428"/>
      <c r="D12" s="428"/>
      <c r="E12" s="428"/>
      <c r="F12" s="428"/>
      <c r="G12" s="428"/>
      <c r="H12" s="429"/>
      <c r="I12" s="429"/>
      <c r="J12" s="429"/>
      <c r="K12" s="429"/>
      <c r="L12" s="429"/>
    </row>
    <row r="13" spans="1:15" ht="23.25" customHeight="1"/>
    <row r="14" spans="1:15" ht="23.25">
      <c r="A14" s="82"/>
      <c r="B14" s="974" t="s">
        <v>557</v>
      </c>
      <c r="C14" s="974"/>
      <c r="D14" s="974"/>
      <c r="E14" s="974"/>
      <c r="F14" s="974"/>
    </row>
    <row r="15" spans="1:15" ht="23.25">
      <c r="A15" s="975" t="s">
        <v>129</v>
      </c>
      <c r="B15" s="975"/>
      <c r="C15" s="975"/>
      <c r="D15" s="975"/>
      <c r="E15" s="975"/>
      <c r="F15" s="975"/>
      <c r="G15" s="975"/>
      <c r="H15" s="976" t="s">
        <v>558</v>
      </c>
      <c r="I15" s="976"/>
      <c r="J15" s="976"/>
      <c r="K15" s="976"/>
      <c r="L15" s="976"/>
    </row>
    <row r="16" spans="1:15" ht="22.5" customHeight="1">
      <c r="A16" s="972">
        <v>1</v>
      </c>
      <c r="B16" s="972"/>
      <c r="C16" s="972"/>
      <c r="D16" s="972"/>
      <c r="E16" s="972"/>
      <c r="F16" s="972"/>
      <c r="G16" s="972"/>
      <c r="H16" s="972">
        <v>1</v>
      </c>
      <c r="I16" s="972"/>
      <c r="J16" s="972"/>
      <c r="K16" s="972"/>
      <c r="L16" s="972"/>
    </row>
    <row r="17" spans="1:12" ht="21" customHeight="1">
      <c r="A17" s="972">
        <v>2</v>
      </c>
      <c r="B17" s="972"/>
      <c r="C17" s="972"/>
      <c r="D17" s="972"/>
      <c r="E17" s="972"/>
      <c r="F17" s="972"/>
      <c r="G17" s="972"/>
      <c r="H17" s="972">
        <v>2</v>
      </c>
      <c r="I17" s="972"/>
      <c r="J17" s="972"/>
      <c r="K17" s="972"/>
      <c r="L17" s="972"/>
    </row>
    <row r="18" spans="1:12" ht="21.75" customHeight="1">
      <c r="A18" s="972">
        <v>3</v>
      </c>
      <c r="B18" s="972"/>
      <c r="C18" s="972"/>
      <c r="D18" s="972"/>
      <c r="E18" s="972"/>
      <c r="F18" s="972"/>
      <c r="G18" s="972"/>
      <c r="H18" s="973">
        <v>3</v>
      </c>
      <c r="I18" s="973"/>
      <c r="J18" s="973"/>
      <c r="K18" s="973"/>
      <c r="L18" s="973"/>
    </row>
    <row r="19" spans="1:12" ht="18.75" customHeight="1">
      <c r="A19" s="972">
        <v>4</v>
      </c>
      <c r="B19" s="972"/>
      <c r="C19" s="972"/>
      <c r="D19" s="972"/>
      <c r="E19" s="972"/>
      <c r="F19" s="972"/>
      <c r="G19" s="972"/>
      <c r="H19" s="973">
        <v>4</v>
      </c>
      <c r="I19" s="973"/>
      <c r="J19" s="973"/>
      <c r="K19" s="973"/>
      <c r="L19" s="973"/>
    </row>
    <row r="20" spans="1:12" ht="24" customHeight="1"/>
    <row r="21" spans="1:12" ht="30" customHeight="1"/>
    <row r="22" spans="1:12" ht="23.25">
      <c r="A22" s="82"/>
      <c r="B22" s="974" t="s">
        <v>559</v>
      </c>
      <c r="C22" s="974"/>
      <c r="D22" s="974"/>
      <c r="E22" s="974"/>
      <c r="F22" s="974"/>
    </row>
    <row r="23" spans="1:12" ht="23.25">
      <c r="A23" s="975" t="s">
        <v>561</v>
      </c>
      <c r="B23" s="975"/>
      <c r="C23" s="975"/>
      <c r="D23" s="975"/>
      <c r="E23" s="975"/>
      <c r="F23" s="975"/>
      <c r="G23" s="975"/>
      <c r="H23" s="976" t="s">
        <v>560</v>
      </c>
      <c r="I23" s="976"/>
      <c r="J23" s="976"/>
      <c r="K23" s="976"/>
      <c r="L23" s="976"/>
    </row>
    <row r="24" spans="1:12" ht="23.25">
      <c r="A24" s="971">
        <v>1</v>
      </c>
      <c r="B24" s="971"/>
      <c r="C24" s="971"/>
      <c r="D24" s="971"/>
      <c r="E24" s="971"/>
      <c r="F24" s="971"/>
      <c r="G24" s="971"/>
      <c r="H24" s="972">
        <v>1</v>
      </c>
      <c r="I24" s="972"/>
      <c r="J24" s="972"/>
      <c r="K24" s="972"/>
      <c r="L24" s="972"/>
    </row>
    <row r="25" spans="1:12" ht="23.25">
      <c r="A25" s="971"/>
      <c r="B25" s="971"/>
      <c r="C25" s="971"/>
      <c r="D25" s="971"/>
      <c r="E25" s="971"/>
      <c r="F25" s="971"/>
      <c r="G25" s="971"/>
      <c r="H25" s="972">
        <v>2</v>
      </c>
      <c r="I25" s="972"/>
      <c r="J25" s="972"/>
      <c r="K25" s="972"/>
      <c r="L25" s="972"/>
    </row>
    <row r="26" spans="1:12" ht="23.25">
      <c r="A26" s="971">
        <v>3</v>
      </c>
      <c r="B26" s="971"/>
      <c r="C26" s="971"/>
      <c r="D26" s="971"/>
      <c r="E26" s="971"/>
      <c r="F26" s="971"/>
      <c r="G26" s="971"/>
      <c r="H26" s="973">
        <v>3</v>
      </c>
      <c r="I26" s="973"/>
      <c r="J26" s="973"/>
      <c r="K26" s="973"/>
      <c r="L26" s="973"/>
    </row>
    <row r="30" spans="1:12" ht="13.5" thickBot="1"/>
    <row r="31" spans="1:12" ht="24" thickBot="1">
      <c r="A31" s="140" t="s">
        <v>970</v>
      </c>
      <c r="B31" s="140"/>
      <c r="C31" s="140"/>
      <c r="D31" s="140"/>
      <c r="E31" s="140"/>
      <c r="F31" s="140"/>
      <c r="H31" s="977" t="s">
        <v>828</v>
      </c>
      <c r="I31" s="978"/>
      <c r="J31" s="979"/>
    </row>
    <row r="32" spans="1:12" ht="23.25">
      <c r="A32" s="82"/>
      <c r="B32" s="974" t="s">
        <v>554</v>
      </c>
      <c r="C32" s="974"/>
      <c r="D32" s="974"/>
      <c r="E32" s="974"/>
      <c r="F32" s="974"/>
    </row>
    <row r="33" spans="1:12" ht="23.25">
      <c r="A33" s="975" t="s">
        <v>555</v>
      </c>
      <c r="B33" s="975"/>
      <c r="C33" s="975"/>
      <c r="D33" s="975"/>
      <c r="E33" s="975"/>
      <c r="F33" s="975"/>
      <c r="G33" s="975"/>
      <c r="H33" s="976" t="s">
        <v>556</v>
      </c>
      <c r="I33" s="976"/>
      <c r="J33" s="976"/>
      <c r="K33" s="976"/>
      <c r="L33" s="976"/>
    </row>
    <row r="34" spans="1:12" ht="23.25">
      <c r="A34" s="971"/>
      <c r="B34" s="971"/>
      <c r="C34" s="971"/>
      <c r="D34" s="971"/>
      <c r="E34" s="971"/>
      <c r="F34" s="971"/>
      <c r="G34" s="971"/>
      <c r="H34" s="972"/>
      <c r="I34" s="972"/>
      <c r="J34" s="972"/>
      <c r="K34" s="972"/>
      <c r="L34" s="972"/>
    </row>
    <row r="35" spans="1:12" ht="23.25">
      <c r="A35" s="971"/>
      <c r="B35" s="971"/>
      <c r="C35" s="971"/>
      <c r="D35" s="971"/>
      <c r="E35" s="971"/>
      <c r="F35" s="971"/>
      <c r="G35" s="971"/>
      <c r="H35" s="972"/>
      <c r="I35" s="972"/>
      <c r="J35" s="972"/>
      <c r="K35" s="972"/>
      <c r="L35" s="972"/>
    </row>
    <row r="36" spans="1:12" ht="23.25">
      <c r="A36" s="971"/>
      <c r="B36" s="971"/>
      <c r="C36" s="971"/>
      <c r="D36" s="971"/>
      <c r="E36" s="971"/>
      <c r="F36" s="971"/>
      <c r="G36" s="971"/>
      <c r="H36" s="973"/>
      <c r="I36" s="973"/>
      <c r="J36" s="973"/>
      <c r="K36" s="973"/>
      <c r="L36" s="973"/>
    </row>
    <row r="37" spans="1:12" ht="23.25">
      <c r="A37" s="428"/>
      <c r="B37" s="428"/>
      <c r="C37" s="428"/>
      <c r="D37" s="428"/>
      <c r="E37" s="428"/>
      <c r="F37" s="428"/>
      <c r="G37" s="428"/>
      <c r="H37" s="429"/>
      <c r="I37" s="429"/>
      <c r="J37" s="429"/>
      <c r="K37" s="429"/>
      <c r="L37" s="429"/>
    </row>
    <row r="39" spans="1:12" ht="23.25">
      <c r="A39" s="82"/>
      <c r="B39" s="974" t="s">
        <v>557</v>
      </c>
      <c r="C39" s="974"/>
      <c r="D39" s="974"/>
      <c r="E39" s="974"/>
      <c r="F39" s="974"/>
    </row>
    <row r="40" spans="1:12" ht="23.25">
      <c r="A40" s="975" t="s">
        <v>129</v>
      </c>
      <c r="B40" s="975"/>
      <c r="C40" s="975"/>
      <c r="D40" s="975"/>
      <c r="E40" s="975"/>
      <c r="F40" s="975"/>
      <c r="G40" s="975"/>
      <c r="H40" s="976" t="s">
        <v>558</v>
      </c>
      <c r="I40" s="976"/>
      <c r="J40" s="976"/>
      <c r="K40" s="976"/>
      <c r="L40" s="976"/>
    </row>
    <row r="41" spans="1:12" ht="45.75" customHeight="1">
      <c r="A41" s="972"/>
      <c r="B41" s="972"/>
      <c r="C41" s="972"/>
      <c r="D41" s="972"/>
      <c r="E41" s="972"/>
      <c r="F41" s="972"/>
      <c r="G41" s="972"/>
      <c r="H41" s="972"/>
      <c r="I41" s="972"/>
      <c r="J41" s="972"/>
      <c r="K41" s="972"/>
      <c r="L41" s="972"/>
    </row>
    <row r="42" spans="1:12" ht="23.25">
      <c r="A42" s="972"/>
      <c r="B42" s="972"/>
      <c r="C42" s="972"/>
      <c r="D42" s="972"/>
      <c r="E42" s="972"/>
      <c r="F42" s="972"/>
      <c r="G42" s="972"/>
      <c r="H42" s="972"/>
      <c r="I42" s="972"/>
      <c r="J42" s="972"/>
      <c r="K42" s="972"/>
      <c r="L42" s="972"/>
    </row>
    <row r="45" spans="1:12" ht="23.25">
      <c r="A45" s="82"/>
      <c r="B45" s="974" t="s">
        <v>559</v>
      </c>
      <c r="C45" s="974"/>
      <c r="D45" s="974"/>
      <c r="E45" s="974"/>
      <c r="F45" s="974"/>
    </row>
    <row r="46" spans="1:12" ht="23.25">
      <c r="A46" s="975" t="s">
        <v>561</v>
      </c>
      <c r="B46" s="975"/>
      <c r="C46" s="975"/>
      <c r="D46" s="975"/>
      <c r="E46" s="975"/>
      <c r="F46" s="975"/>
      <c r="G46" s="975"/>
      <c r="H46" s="976" t="s">
        <v>560</v>
      </c>
      <c r="I46" s="976"/>
      <c r="J46" s="976"/>
      <c r="K46" s="976"/>
      <c r="L46" s="976"/>
    </row>
    <row r="47" spans="1:12" ht="47.25" customHeight="1">
      <c r="A47" s="980"/>
      <c r="B47" s="981"/>
      <c r="C47" s="981"/>
      <c r="D47" s="981"/>
      <c r="E47" s="981"/>
      <c r="F47" s="981"/>
      <c r="G47" s="982"/>
      <c r="H47" s="972"/>
      <c r="I47" s="972"/>
      <c r="J47" s="972"/>
      <c r="K47" s="972"/>
      <c r="L47" s="972"/>
    </row>
    <row r="51" spans="1:12" ht="13.5" thickBot="1"/>
    <row r="52" spans="1:12" ht="24" thickBot="1">
      <c r="A52" s="140" t="s">
        <v>970</v>
      </c>
      <c r="B52" s="140"/>
      <c r="C52" s="140"/>
      <c r="D52" s="140"/>
      <c r="E52" s="140"/>
      <c r="F52" s="140"/>
      <c r="H52" s="977" t="s">
        <v>576</v>
      </c>
      <c r="I52" s="978"/>
      <c r="J52" s="979"/>
    </row>
    <row r="53" spans="1:12" ht="23.25">
      <c r="A53" s="82"/>
      <c r="B53" s="974" t="s">
        <v>554</v>
      </c>
      <c r="C53" s="974"/>
      <c r="D53" s="974"/>
      <c r="E53" s="974"/>
      <c r="F53" s="974"/>
    </row>
    <row r="54" spans="1:12" ht="23.25">
      <c r="A54" s="975" t="s">
        <v>555</v>
      </c>
      <c r="B54" s="975"/>
      <c r="C54" s="975"/>
      <c r="D54" s="975"/>
      <c r="E54" s="975"/>
      <c r="F54" s="975"/>
      <c r="G54" s="975"/>
      <c r="H54" s="976" t="s">
        <v>556</v>
      </c>
      <c r="I54" s="976"/>
      <c r="J54" s="976"/>
      <c r="K54" s="976"/>
      <c r="L54" s="976"/>
    </row>
    <row r="55" spans="1:12" ht="23.25">
      <c r="A55" s="971">
        <v>1</v>
      </c>
      <c r="B55" s="971"/>
      <c r="C55" s="971"/>
      <c r="D55" s="971"/>
      <c r="E55" s="971"/>
      <c r="F55" s="971"/>
      <c r="G55" s="971"/>
      <c r="H55" s="972">
        <v>1</v>
      </c>
      <c r="I55" s="972"/>
      <c r="J55" s="972"/>
      <c r="K55" s="972"/>
      <c r="L55" s="972"/>
    </row>
    <row r="56" spans="1:12" ht="23.25">
      <c r="A56" s="971">
        <v>2</v>
      </c>
      <c r="B56" s="971"/>
      <c r="C56" s="971"/>
      <c r="D56" s="971"/>
      <c r="E56" s="971"/>
      <c r="F56" s="971"/>
      <c r="G56" s="971"/>
      <c r="H56" s="972">
        <v>2</v>
      </c>
      <c r="I56" s="972"/>
      <c r="J56" s="972"/>
      <c r="K56" s="972"/>
      <c r="L56" s="972"/>
    </row>
    <row r="57" spans="1:12" ht="23.25">
      <c r="A57" s="971">
        <v>3</v>
      </c>
      <c r="B57" s="971"/>
      <c r="C57" s="971"/>
      <c r="D57" s="971"/>
      <c r="E57" s="971"/>
      <c r="F57" s="971"/>
      <c r="G57" s="971"/>
      <c r="H57" s="973">
        <v>3</v>
      </c>
      <c r="I57" s="973"/>
      <c r="J57" s="973"/>
      <c r="K57" s="973"/>
      <c r="L57" s="973"/>
    </row>
    <row r="58" spans="1:12" ht="23.25">
      <c r="A58" s="428"/>
      <c r="B58" s="428"/>
      <c r="C58" s="428"/>
      <c r="D58" s="428"/>
      <c r="E58" s="428"/>
      <c r="F58" s="428"/>
      <c r="G58" s="428"/>
      <c r="H58" s="429"/>
      <c r="I58" s="429"/>
      <c r="J58" s="429"/>
      <c r="K58" s="429"/>
      <c r="L58" s="429"/>
    </row>
    <row r="60" spans="1:12" ht="23.25">
      <c r="A60" s="82"/>
      <c r="B60" s="974" t="s">
        <v>557</v>
      </c>
      <c r="C60" s="974"/>
      <c r="D60" s="974"/>
      <c r="E60" s="974"/>
      <c r="F60" s="974"/>
    </row>
    <row r="61" spans="1:12" ht="23.25">
      <c r="A61" s="975" t="s">
        <v>129</v>
      </c>
      <c r="B61" s="975"/>
      <c r="C61" s="975"/>
      <c r="D61" s="975"/>
      <c r="E61" s="975"/>
      <c r="F61" s="975"/>
      <c r="G61" s="975"/>
      <c r="H61" s="976" t="s">
        <v>558</v>
      </c>
      <c r="I61" s="976"/>
      <c r="J61" s="976"/>
      <c r="K61" s="976"/>
      <c r="L61" s="976"/>
    </row>
    <row r="62" spans="1:12" ht="23.25">
      <c r="A62" s="972">
        <v>1</v>
      </c>
      <c r="B62" s="972"/>
      <c r="C62" s="972"/>
      <c r="D62" s="972"/>
      <c r="E62" s="972"/>
      <c r="F62" s="972"/>
      <c r="G62" s="972"/>
      <c r="H62" s="972">
        <v>1</v>
      </c>
      <c r="I62" s="972"/>
      <c r="J62" s="972"/>
      <c r="K62" s="972"/>
      <c r="L62" s="972"/>
    </row>
    <row r="63" spans="1:12" ht="23.25">
      <c r="A63" s="972">
        <v>2</v>
      </c>
      <c r="B63" s="972"/>
      <c r="C63" s="972"/>
      <c r="D63" s="972"/>
      <c r="E63" s="972"/>
      <c r="F63" s="972"/>
      <c r="G63" s="972"/>
      <c r="H63" s="972">
        <v>2</v>
      </c>
      <c r="I63" s="972"/>
      <c r="J63" s="972"/>
      <c r="K63" s="972"/>
      <c r="L63" s="972"/>
    </row>
    <row r="64" spans="1:12" ht="23.25">
      <c r="A64" s="972">
        <v>3</v>
      </c>
      <c r="B64" s="972"/>
      <c r="C64" s="972"/>
      <c r="D64" s="972"/>
      <c r="E64" s="972"/>
      <c r="F64" s="972"/>
      <c r="G64" s="972"/>
      <c r="H64" s="973">
        <v>3</v>
      </c>
      <c r="I64" s="973"/>
      <c r="J64" s="973"/>
      <c r="K64" s="973"/>
      <c r="L64" s="973"/>
    </row>
    <row r="65" spans="1:12" ht="23.25">
      <c r="A65" s="972">
        <v>4</v>
      </c>
      <c r="B65" s="972"/>
      <c r="C65" s="972"/>
      <c r="D65" s="972"/>
      <c r="E65" s="972"/>
      <c r="F65" s="972"/>
      <c r="G65" s="972"/>
      <c r="H65" s="973">
        <v>4</v>
      </c>
      <c r="I65" s="973"/>
      <c r="J65" s="973"/>
      <c r="K65" s="973"/>
      <c r="L65" s="973"/>
    </row>
    <row r="68" spans="1:12" ht="23.25">
      <c r="A68" s="82"/>
      <c r="B68" s="974" t="s">
        <v>559</v>
      </c>
      <c r="C68" s="974"/>
      <c r="D68" s="974"/>
      <c r="E68" s="974"/>
      <c r="F68" s="974"/>
    </row>
    <row r="69" spans="1:12" ht="23.25">
      <c r="A69" s="975" t="s">
        <v>561</v>
      </c>
      <c r="B69" s="975"/>
      <c r="C69" s="975"/>
      <c r="D69" s="975"/>
      <c r="E69" s="975"/>
      <c r="F69" s="975"/>
      <c r="G69" s="975"/>
      <c r="H69" s="976" t="s">
        <v>560</v>
      </c>
      <c r="I69" s="976"/>
      <c r="J69" s="976"/>
      <c r="K69" s="976"/>
      <c r="L69" s="976"/>
    </row>
    <row r="70" spans="1:12" ht="23.25">
      <c r="A70" s="971">
        <v>1</v>
      </c>
      <c r="B70" s="971"/>
      <c r="C70" s="971"/>
      <c r="D70" s="971"/>
      <c r="E70" s="971"/>
      <c r="F70" s="971"/>
      <c r="G70" s="971"/>
      <c r="H70" s="972">
        <v>1</v>
      </c>
      <c r="I70" s="972"/>
      <c r="J70" s="972"/>
      <c r="K70" s="972"/>
      <c r="L70" s="972"/>
    </row>
    <row r="71" spans="1:12" ht="23.25">
      <c r="A71" s="971">
        <v>2</v>
      </c>
      <c r="B71" s="971"/>
      <c r="C71" s="971"/>
      <c r="D71" s="971"/>
      <c r="E71" s="971"/>
      <c r="F71" s="971"/>
      <c r="G71" s="971"/>
      <c r="H71" s="972">
        <v>2</v>
      </c>
      <c r="I71" s="972"/>
      <c r="J71" s="972"/>
      <c r="K71" s="972"/>
      <c r="L71" s="972"/>
    </row>
    <row r="72" spans="1:12" ht="23.25">
      <c r="A72" s="971">
        <v>3</v>
      </c>
      <c r="B72" s="971"/>
      <c r="C72" s="971"/>
      <c r="D72" s="971"/>
      <c r="E72" s="971"/>
      <c r="F72" s="971"/>
      <c r="G72" s="971"/>
      <c r="H72" s="973">
        <v>3</v>
      </c>
      <c r="I72" s="973"/>
      <c r="J72" s="973"/>
      <c r="K72" s="973"/>
      <c r="L72" s="973"/>
    </row>
    <row r="75" spans="1:12" ht="13.5" thickBot="1"/>
    <row r="76" spans="1:12" ht="24" thickBot="1">
      <c r="A76" s="140" t="s">
        <v>970</v>
      </c>
      <c r="B76" s="140"/>
      <c r="C76" s="140"/>
      <c r="D76" s="140"/>
      <c r="E76" s="140"/>
      <c r="F76" s="140"/>
      <c r="H76" s="977" t="s">
        <v>829</v>
      </c>
      <c r="I76" s="978"/>
      <c r="J76" s="979"/>
    </row>
    <row r="77" spans="1:12" ht="23.25">
      <c r="A77" s="82"/>
      <c r="B77" s="974" t="s">
        <v>554</v>
      </c>
      <c r="C77" s="974"/>
      <c r="D77" s="974"/>
      <c r="E77" s="974"/>
      <c r="F77" s="974"/>
    </row>
    <row r="78" spans="1:12" ht="23.25">
      <c r="A78" s="975" t="s">
        <v>555</v>
      </c>
      <c r="B78" s="975"/>
      <c r="C78" s="975"/>
      <c r="D78" s="975"/>
      <c r="E78" s="975"/>
      <c r="F78" s="975"/>
      <c r="G78" s="975"/>
      <c r="H78" s="976" t="s">
        <v>556</v>
      </c>
      <c r="I78" s="976"/>
      <c r="J78" s="976"/>
      <c r="K78" s="976"/>
      <c r="L78" s="976"/>
    </row>
    <row r="79" spans="1:12" ht="23.25">
      <c r="A79" s="971">
        <v>1</v>
      </c>
      <c r="B79" s="971"/>
      <c r="C79" s="971"/>
      <c r="D79" s="971"/>
      <c r="E79" s="971"/>
      <c r="F79" s="971"/>
      <c r="G79" s="971"/>
      <c r="H79" s="972">
        <v>1</v>
      </c>
      <c r="I79" s="972"/>
      <c r="J79" s="972"/>
      <c r="K79" s="972"/>
      <c r="L79" s="972"/>
    </row>
    <row r="80" spans="1:12" ht="23.25">
      <c r="A80" s="971">
        <v>2</v>
      </c>
      <c r="B80" s="971"/>
      <c r="C80" s="971"/>
      <c r="D80" s="971"/>
      <c r="E80" s="971"/>
      <c r="F80" s="971"/>
      <c r="G80" s="971"/>
      <c r="H80" s="972">
        <v>2</v>
      </c>
      <c r="I80" s="972"/>
      <c r="J80" s="972"/>
      <c r="K80" s="972"/>
      <c r="L80" s="972"/>
    </row>
    <row r="81" spans="1:12" ht="23.25">
      <c r="A81" s="971">
        <v>3</v>
      </c>
      <c r="B81" s="971"/>
      <c r="C81" s="971"/>
      <c r="D81" s="971"/>
      <c r="E81" s="971"/>
      <c r="F81" s="971"/>
      <c r="G81" s="971"/>
      <c r="H81" s="973">
        <v>3</v>
      </c>
      <c r="I81" s="973"/>
      <c r="J81" s="973"/>
      <c r="K81" s="973"/>
      <c r="L81" s="973"/>
    </row>
    <row r="82" spans="1:12" ht="23.25">
      <c r="A82" s="428"/>
      <c r="B82" s="428"/>
      <c r="C82" s="428"/>
      <c r="D82" s="428"/>
      <c r="E82" s="428"/>
      <c r="F82" s="428"/>
      <c r="G82" s="428"/>
      <c r="H82" s="429"/>
      <c r="I82" s="429"/>
      <c r="J82" s="429"/>
      <c r="K82" s="429"/>
      <c r="L82" s="429"/>
    </row>
    <row r="84" spans="1:12" ht="23.25">
      <c r="A84" s="82"/>
      <c r="B84" s="974" t="s">
        <v>557</v>
      </c>
      <c r="C84" s="974"/>
      <c r="D84" s="974"/>
      <c r="E84" s="974"/>
      <c r="F84" s="974"/>
    </row>
    <row r="85" spans="1:12" ht="23.25">
      <c r="A85" s="975" t="s">
        <v>129</v>
      </c>
      <c r="B85" s="975"/>
      <c r="C85" s="975"/>
      <c r="D85" s="975"/>
      <c r="E85" s="975"/>
      <c r="F85" s="975"/>
      <c r="G85" s="975"/>
      <c r="H85" s="976" t="s">
        <v>558</v>
      </c>
      <c r="I85" s="976"/>
      <c r="J85" s="976"/>
      <c r="K85" s="976"/>
      <c r="L85" s="976"/>
    </row>
    <row r="86" spans="1:12" ht="23.25">
      <c r="A86" s="972">
        <v>1</v>
      </c>
      <c r="B86" s="972"/>
      <c r="C86" s="972"/>
      <c r="D86" s="972"/>
      <c r="E86" s="972"/>
      <c r="F86" s="972"/>
      <c r="G86" s="972"/>
      <c r="H86" s="972">
        <v>1</v>
      </c>
      <c r="I86" s="972"/>
      <c r="J86" s="972"/>
      <c r="K86" s="972"/>
      <c r="L86" s="972"/>
    </row>
    <row r="87" spans="1:12" ht="23.25">
      <c r="A87" s="972">
        <v>2</v>
      </c>
      <c r="B87" s="972"/>
      <c r="C87" s="972"/>
      <c r="D87" s="972"/>
      <c r="E87" s="972"/>
      <c r="F87" s="972"/>
      <c r="G87" s="972"/>
      <c r="H87" s="972">
        <v>2</v>
      </c>
      <c r="I87" s="972"/>
      <c r="J87" s="972"/>
      <c r="K87" s="972"/>
      <c r="L87" s="972"/>
    </row>
    <row r="88" spans="1:12" ht="23.25">
      <c r="A88" s="972">
        <v>3</v>
      </c>
      <c r="B88" s="972"/>
      <c r="C88" s="972"/>
      <c r="D88" s="972"/>
      <c r="E88" s="972"/>
      <c r="F88" s="972"/>
      <c r="G88" s="972"/>
      <c r="H88" s="973">
        <v>3</v>
      </c>
      <c r="I88" s="973"/>
      <c r="J88" s="973"/>
      <c r="K88" s="973"/>
      <c r="L88" s="973"/>
    </row>
    <row r="89" spans="1:12" ht="23.25">
      <c r="A89" s="972">
        <v>4</v>
      </c>
      <c r="B89" s="972"/>
      <c r="C89" s="972"/>
      <c r="D89" s="972"/>
      <c r="E89" s="972"/>
      <c r="F89" s="972"/>
      <c r="G89" s="972"/>
      <c r="H89" s="973">
        <v>4</v>
      </c>
      <c r="I89" s="973"/>
      <c r="J89" s="973"/>
      <c r="K89" s="973"/>
      <c r="L89" s="973"/>
    </row>
    <row r="92" spans="1:12" ht="23.25">
      <c r="A92" s="82"/>
      <c r="B92" s="974" t="s">
        <v>559</v>
      </c>
      <c r="C92" s="974"/>
      <c r="D92" s="974"/>
      <c r="E92" s="974"/>
      <c r="F92" s="974"/>
    </row>
    <row r="93" spans="1:12" ht="23.25">
      <c r="A93" s="975" t="s">
        <v>561</v>
      </c>
      <c r="B93" s="975"/>
      <c r="C93" s="975"/>
      <c r="D93" s="975"/>
      <c r="E93" s="975"/>
      <c r="F93" s="975"/>
      <c r="G93" s="975"/>
      <c r="H93" s="976" t="s">
        <v>560</v>
      </c>
      <c r="I93" s="976"/>
      <c r="J93" s="976"/>
      <c r="K93" s="976"/>
      <c r="L93" s="976"/>
    </row>
    <row r="94" spans="1:12" ht="23.25">
      <c r="A94" s="971">
        <v>1</v>
      </c>
      <c r="B94" s="971"/>
      <c r="C94" s="971"/>
      <c r="D94" s="971"/>
      <c r="E94" s="971"/>
      <c r="F94" s="971"/>
      <c r="G94" s="971"/>
      <c r="H94" s="972">
        <v>1</v>
      </c>
      <c r="I94" s="972"/>
      <c r="J94" s="972"/>
      <c r="K94" s="972"/>
      <c r="L94" s="972"/>
    </row>
    <row r="95" spans="1:12" ht="23.25">
      <c r="A95" s="971">
        <v>2</v>
      </c>
      <c r="B95" s="971"/>
      <c r="C95" s="971"/>
      <c r="D95" s="971"/>
      <c r="E95" s="971"/>
      <c r="F95" s="971"/>
      <c r="G95" s="971"/>
      <c r="H95" s="972">
        <v>2</v>
      </c>
      <c r="I95" s="972"/>
      <c r="J95" s="972"/>
      <c r="K95" s="972"/>
      <c r="L95" s="972"/>
    </row>
    <row r="96" spans="1:12" ht="23.25">
      <c r="A96" s="971">
        <v>3</v>
      </c>
      <c r="B96" s="971"/>
      <c r="C96" s="971"/>
      <c r="D96" s="971"/>
      <c r="E96" s="971"/>
      <c r="F96" s="971"/>
      <c r="G96" s="971"/>
      <c r="H96" s="973">
        <v>3</v>
      </c>
      <c r="I96" s="973"/>
      <c r="J96" s="973"/>
      <c r="K96" s="973"/>
      <c r="L96" s="973"/>
    </row>
    <row r="100" spans="1:12" ht="13.5" thickBot="1"/>
    <row r="101" spans="1:12" ht="24" thickBot="1">
      <c r="A101" s="140" t="s">
        <v>970</v>
      </c>
      <c r="B101" s="140"/>
      <c r="C101" s="140"/>
      <c r="D101" s="140"/>
      <c r="E101" s="140"/>
      <c r="F101" s="140"/>
      <c r="H101" s="977" t="s">
        <v>830</v>
      </c>
      <c r="I101" s="978"/>
      <c r="J101" s="979"/>
    </row>
    <row r="102" spans="1:12" ht="23.25">
      <c r="A102" s="82"/>
      <c r="B102" s="974" t="s">
        <v>554</v>
      </c>
      <c r="C102" s="974"/>
      <c r="D102" s="974"/>
      <c r="E102" s="974"/>
      <c r="F102" s="974"/>
    </row>
    <row r="103" spans="1:12" ht="23.25">
      <c r="A103" s="975" t="s">
        <v>555</v>
      </c>
      <c r="B103" s="975"/>
      <c r="C103" s="975"/>
      <c r="D103" s="975"/>
      <c r="E103" s="975"/>
      <c r="F103" s="975"/>
      <c r="G103" s="975"/>
      <c r="H103" s="976" t="s">
        <v>556</v>
      </c>
      <c r="I103" s="976"/>
      <c r="J103" s="976"/>
      <c r="K103" s="976"/>
      <c r="L103" s="976"/>
    </row>
    <row r="104" spans="1:12" ht="23.25">
      <c r="A104" s="971">
        <v>1</v>
      </c>
      <c r="B104" s="971"/>
      <c r="C104" s="971"/>
      <c r="D104" s="971"/>
      <c r="E104" s="971"/>
      <c r="F104" s="971"/>
      <c r="G104" s="971"/>
      <c r="H104" s="972">
        <v>1</v>
      </c>
      <c r="I104" s="972"/>
      <c r="J104" s="972"/>
      <c r="K104" s="972"/>
      <c r="L104" s="972"/>
    </row>
    <row r="105" spans="1:12" ht="23.25">
      <c r="A105" s="971">
        <v>2</v>
      </c>
      <c r="B105" s="971"/>
      <c r="C105" s="971"/>
      <c r="D105" s="971"/>
      <c r="E105" s="971"/>
      <c r="F105" s="971"/>
      <c r="G105" s="971"/>
      <c r="H105" s="972">
        <v>2</v>
      </c>
      <c r="I105" s="972"/>
      <c r="J105" s="972"/>
      <c r="K105" s="972"/>
      <c r="L105" s="972"/>
    </row>
    <row r="106" spans="1:12" ht="23.25">
      <c r="A106" s="971">
        <v>3</v>
      </c>
      <c r="B106" s="971"/>
      <c r="C106" s="971"/>
      <c r="D106" s="971"/>
      <c r="E106" s="971"/>
      <c r="F106" s="971"/>
      <c r="G106" s="971"/>
      <c r="H106" s="973">
        <v>3</v>
      </c>
      <c r="I106" s="973"/>
      <c r="J106" s="973"/>
      <c r="K106" s="973"/>
      <c r="L106" s="973"/>
    </row>
    <row r="107" spans="1:12" ht="23.25">
      <c r="A107" s="428"/>
      <c r="B107" s="428"/>
      <c r="C107" s="428"/>
      <c r="D107" s="428"/>
      <c r="E107" s="428"/>
      <c r="F107" s="428"/>
      <c r="G107" s="428"/>
      <c r="H107" s="429"/>
      <c r="I107" s="429"/>
      <c r="J107" s="429"/>
      <c r="K107" s="429"/>
      <c r="L107" s="429"/>
    </row>
    <row r="109" spans="1:12" ht="23.25">
      <c r="A109" s="82"/>
      <c r="B109" s="974" t="s">
        <v>557</v>
      </c>
      <c r="C109" s="974"/>
      <c r="D109" s="974"/>
      <c r="E109" s="974"/>
      <c r="F109" s="974"/>
    </row>
    <row r="110" spans="1:12" ht="23.25">
      <c r="A110" s="975" t="s">
        <v>129</v>
      </c>
      <c r="B110" s="975"/>
      <c r="C110" s="975"/>
      <c r="D110" s="975"/>
      <c r="E110" s="975"/>
      <c r="F110" s="975"/>
      <c r="G110" s="975"/>
      <c r="H110" s="976" t="s">
        <v>558</v>
      </c>
      <c r="I110" s="976"/>
      <c r="J110" s="976"/>
      <c r="K110" s="976"/>
      <c r="L110" s="976"/>
    </row>
    <row r="111" spans="1:12" ht="23.25">
      <c r="A111" s="972">
        <v>1</v>
      </c>
      <c r="B111" s="972"/>
      <c r="C111" s="972"/>
      <c r="D111" s="972"/>
      <c r="E111" s="972"/>
      <c r="F111" s="972"/>
      <c r="G111" s="972"/>
      <c r="H111" s="972">
        <v>1</v>
      </c>
      <c r="I111" s="972"/>
      <c r="J111" s="972"/>
      <c r="K111" s="972"/>
      <c r="L111" s="972"/>
    </row>
    <row r="112" spans="1:12" ht="23.25">
      <c r="A112" s="972">
        <v>2</v>
      </c>
      <c r="B112" s="972"/>
      <c r="C112" s="972"/>
      <c r="D112" s="972"/>
      <c r="E112" s="972"/>
      <c r="F112" s="972"/>
      <c r="G112" s="972"/>
      <c r="H112" s="972">
        <v>2</v>
      </c>
      <c r="I112" s="972"/>
      <c r="J112" s="972"/>
      <c r="K112" s="972"/>
      <c r="L112" s="972"/>
    </row>
    <row r="113" spans="1:12" ht="23.25">
      <c r="A113" s="972">
        <v>3</v>
      </c>
      <c r="B113" s="972"/>
      <c r="C113" s="972"/>
      <c r="D113" s="972"/>
      <c r="E113" s="972"/>
      <c r="F113" s="972"/>
      <c r="G113" s="972"/>
      <c r="H113" s="973">
        <v>3</v>
      </c>
      <c r="I113" s="973"/>
      <c r="J113" s="973"/>
      <c r="K113" s="973"/>
      <c r="L113" s="973"/>
    </row>
    <row r="114" spans="1:12" ht="23.25">
      <c r="A114" s="972">
        <v>4</v>
      </c>
      <c r="B114" s="972"/>
      <c r="C114" s="972"/>
      <c r="D114" s="972"/>
      <c r="E114" s="972"/>
      <c r="F114" s="972"/>
      <c r="G114" s="972"/>
      <c r="H114" s="973">
        <v>4</v>
      </c>
      <c r="I114" s="973"/>
      <c r="J114" s="973"/>
      <c r="K114" s="973"/>
      <c r="L114" s="973"/>
    </row>
    <row r="117" spans="1:12" ht="23.25">
      <c r="A117" s="82"/>
      <c r="B117" s="974" t="s">
        <v>559</v>
      </c>
      <c r="C117" s="974"/>
      <c r="D117" s="974"/>
      <c r="E117" s="974"/>
      <c r="F117" s="974"/>
    </row>
    <row r="118" spans="1:12" ht="23.25">
      <c r="A118" s="975" t="s">
        <v>561</v>
      </c>
      <c r="B118" s="975"/>
      <c r="C118" s="975"/>
      <c r="D118" s="975"/>
      <c r="E118" s="975"/>
      <c r="F118" s="975"/>
      <c r="G118" s="975"/>
      <c r="H118" s="976" t="s">
        <v>560</v>
      </c>
      <c r="I118" s="976"/>
      <c r="J118" s="976"/>
      <c r="K118" s="976"/>
      <c r="L118" s="976"/>
    </row>
    <row r="119" spans="1:12" ht="23.25">
      <c r="A119" s="971">
        <v>1</v>
      </c>
      <c r="B119" s="971"/>
      <c r="C119" s="971"/>
      <c r="D119" s="971"/>
      <c r="E119" s="971"/>
      <c r="F119" s="971"/>
      <c r="G119" s="971"/>
      <c r="H119" s="972">
        <v>1</v>
      </c>
      <c r="I119" s="972"/>
      <c r="J119" s="972"/>
      <c r="K119" s="972"/>
      <c r="L119" s="972"/>
    </row>
    <row r="120" spans="1:12" ht="23.25">
      <c r="A120" s="971">
        <v>2</v>
      </c>
      <c r="B120" s="971"/>
      <c r="C120" s="971"/>
      <c r="D120" s="971"/>
      <c r="E120" s="971"/>
      <c r="F120" s="971"/>
      <c r="G120" s="971"/>
      <c r="H120" s="972">
        <v>2</v>
      </c>
      <c r="I120" s="972"/>
      <c r="J120" s="972"/>
      <c r="K120" s="972"/>
      <c r="L120" s="972"/>
    </row>
    <row r="121" spans="1:12" ht="23.25">
      <c r="A121" s="971">
        <v>3</v>
      </c>
      <c r="B121" s="971"/>
      <c r="C121" s="971"/>
      <c r="D121" s="971"/>
      <c r="E121" s="971"/>
      <c r="F121" s="971"/>
      <c r="G121" s="971"/>
      <c r="H121" s="973">
        <v>3</v>
      </c>
      <c r="I121" s="973"/>
      <c r="J121" s="973"/>
      <c r="K121" s="973"/>
      <c r="L121" s="973"/>
    </row>
    <row r="124" spans="1:12" ht="13.5" thickBot="1"/>
    <row r="125" spans="1:12" ht="24" thickBot="1">
      <c r="A125" s="140" t="s">
        <v>970</v>
      </c>
      <c r="B125" s="140"/>
      <c r="C125" s="140"/>
      <c r="D125" s="140"/>
      <c r="E125" s="140"/>
      <c r="F125" s="140"/>
      <c r="H125" s="977" t="s">
        <v>831</v>
      </c>
      <c r="I125" s="978"/>
      <c r="J125" s="979"/>
    </row>
    <row r="126" spans="1:12" ht="23.25">
      <c r="A126" s="82"/>
      <c r="B126" s="974" t="s">
        <v>554</v>
      </c>
      <c r="C126" s="974"/>
      <c r="D126" s="974"/>
      <c r="E126" s="974"/>
      <c r="F126" s="974"/>
    </row>
    <row r="127" spans="1:12" ht="23.25">
      <c r="A127" s="975" t="s">
        <v>555</v>
      </c>
      <c r="B127" s="975"/>
      <c r="C127" s="975"/>
      <c r="D127" s="975"/>
      <c r="E127" s="975"/>
      <c r="F127" s="975"/>
      <c r="G127" s="975"/>
      <c r="H127" s="976" t="s">
        <v>556</v>
      </c>
      <c r="I127" s="976"/>
      <c r="J127" s="976"/>
      <c r="K127" s="976"/>
      <c r="L127" s="976"/>
    </row>
    <row r="128" spans="1:12" ht="23.25">
      <c r="A128" s="971">
        <v>1</v>
      </c>
      <c r="B128" s="971"/>
      <c r="C128" s="971"/>
      <c r="D128" s="971"/>
      <c r="E128" s="971"/>
      <c r="F128" s="971"/>
      <c r="G128" s="971"/>
      <c r="H128" s="972">
        <v>1</v>
      </c>
      <c r="I128" s="972"/>
      <c r="J128" s="972"/>
      <c r="K128" s="972"/>
      <c r="L128" s="972"/>
    </row>
    <row r="129" spans="1:12" ht="23.25">
      <c r="A129" s="971">
        <v>2</v>
      </c>
      <c r="B129" s="971"/>
      <c r="C129" s="971"/>
      <c r="D129" s="971"/>
      <c r="E129" s="971"/>
      <c r="F129" s="971"/>
      <c r="G129" s="971"/>
      <c r="H129" s="972">
        <v>2</v>
      </c>
      <c r="I129" s="972"/>
      <c r="J129" s="972"/>
      <c r="K129" s="972"/>
      <c r="L129" s="972"/>
    </row>
    <row r="130" spans="1:12" ht="23.25">
      <c r="A130" s="971">
        <v>3</v>
      </c>
      <c r="B130" s="971"/>
      <c r="C130" s="971"/>
      <c r="D130" s="971"/>
      <c r="E130" s="971"/>
      <c r="F130" s="971"/>
      <c r="G130" s="971"/>
      <c r="H130" s="973">
        <v>3</v>
      </c>
      <c r="I130" s="973"/>
      <c r="J130" s="973"/>
      <c r="K130" s="973"/>
      <c r="L130" s="973"/>
    </row>
    <row r="131" spans="1:12" ht="23.25">
      <c r="A131" s="428"/>
      <c r="B131" s="428"/>
      <c r="C131" s="428"/>
      <c r="D131" s="428"/>
      <c r="E131" s="428"/>
      <c r="F131" s="428"/>
      <c r="G131" s="428"/>
      <c r="H131" s="429"/>
      <c r="I131" s="429"/>
      <c r="J131" s="429"/>
      <c r="K131" s="429"/>
      <c r="L131" s="429"/>
    </row>
    <row r="133" spans="1:12" ht="23.25">
      <c r="A133" s="82"/>
      <c r="B133" s="974" t="s">
        <v>557</v>
      </c>
      <c r="C133" s="974"/>
      <c r="D133" s="974"/>
      <c r="E133" s="974"/>
      <c r="F133" s="974"/>
    </row>
    <row r="134" spans="1:12" ht="23.25">
      <c r="A134" s="975" t="s">
        <v>129</v>
      </c>
      <c r="B134" s="975"/>
      <c r="C134" s="975"/>
      <c r="D134" s="975"/>
      <c r="E134" s="975"/>
      <c r="F134" s="975"/>
      <c r="G134" s="975"/>
      <c r="H134" s="976" t="s">
        <v>558</v>
      </c>
      <c r="I134" s="976"/>
      <c r="J134" s="976"/>
      <c r="K134" s="976"/>
      <c r="L134" s="976"/>
    </row>
    <row r="135" spans="1:12" ht="23.25">
      <c r="A135" s="972">
        <v>1</v>
      </c>
      <c r="B135" s="972"/>
      <c r="C135" s="972"/>
      <c r="D135" s="972"/>
      <c r="E135" s="972"/>
      <c r="F135" s="972"/>
      <c r="G135" s="972"/>
      <c r="H135" s="972">
        <v>1</v>
      </c>
      <c r="I135" s="972"/>
      <c r="J135" s="972"/>
      <c r="K135" s="972"/>
      <c r="L135" s="972"/>
    </row>
    <row r="136" spans="1:12" ht="23.25">
      <c r="A136" s="972">
        <v>2</v>
      </c>
      <c r="B136" s="972"/>
      <c r="C136" s="972"/>
      <c r="D136" s="972"/>
      <c r="E136" s="972"/>
      <c r="F136" s="972"/>
      <c r="G136" s="972"/>
      <c r="H136" s="972">
        <v>2</v>
      </c>
      <c r="I136" s="972"/>
      <c r="J136" s="972"/>
      <c r="K136" s="972"/>
      <c r="L136" s="972"/>
    </row>
    <row r="137" spans="1:12" ht="23.25">
      <c r="A137" s="972">
        <v>3</v>
      </c>
      <c r="B137" s="972"/>
      <c r="C137" s="972"/>
      <c r="D137" s="972"/>
      <c r="E137" s="972"/>
      <c r="F137" s="972"/>
      <c r="G137" s="972"/>
      <c r="H137" s="973">
        <v>3</v>
      </c>
      <c r="I137" s="973"/>
      <c r="J137" s="973"/>
      <c r="K137" s="973"/>
      <c r="L137" s="973"/>
    </row>
    <row r="138" spans="1:12" ht="23.25">
      <c r="A138" s="972">
        <v>4</v>
      </c>
      <c r="B138" s="972"/>
      <c r="C138" s="972"/>
      <c r="D138" s="972"/>
      <c r="E138" s="972"/>
      <c r="F138" s="972"/>
      <c r="G138" s="972"/>
      <c r="H138" s="973">
        <v>4</v>
      </c>
      <c r="I138" s="973"/>
      <c r="J138" s="973"/>
      <c r="K138" s="973"/>
      <c r="L138" s="973"/>
    </row>
    <row r="141" spans="1:12" ht="23.25">
      <c r="A141" s="82"/>
      <c r="B141" s="974" t="s">
        <v>559</v>
      </c>
      <c r="C141" s="974"/>
      <c r="D141" s="974"/>
      <c r="E141" s="974"/>
      <c r="F141" s="974"/>
    </row>
    <row r="142" spans="1:12" ht="23.25">
      <c r="A142" s="975" t="s">
        <v>561</v>
      </c>
      <c r="B142" s="975"/>
      <c r="C142" s="975"/>
      <c r="D142" s="975"/>
      <c r="E142" s="975"/>
      <c r="F142" s="975"/>
      <c r="G142" s="975"/>
      <c r="H142" s="976" t="s">
        <v>560</v>
      </c>
      <c r="I142" s="976"/>
      <c r="J142" s="976"/>
      <c r="K142" s="976"/>
      <c r="L142" s="976"/>
    </row>
    <row r="143" spans="1:12" ht="23.25">
      <c r="A143" s="971">
        <v>1</v>
      </c>
      <c r="B143" s="971"/>
      <c r="C143" s="971"/>
      <c r="D143" s="971"/>
      <c r="E143" s="971"/>
      <c r="F143" s="971"/>
      <c r="G143" s="971"/>
      <c r="H143" s="972">
        <v>1</v>
      </c>
      <c r="I143" s="972"/>
      <c r="J143" s="972"/>
      <c r="K143" s="972"/>
      <c r="L143" s="972"/>
    </row>
    <row r="144" spans="1:12" ht="23.25">
      <c r="A144" s="971">
        <v>2</v>
      </c>
      <c r="B144" s="971"/>
      <c r="C144" s="971"/>
      <c r="D144" s="971"/>
      <c r="E144" s="971"/>
      <c r="F144" s="971"/>
      <c r="G144" s="971"/>
      <c r="H144" s="972">
        <v>2</v>
      </c>
      <c r="I144" s="972"/>
      <c r="J144" s="972"/>
      <c r="K144" s="972"/>
      <c r="L144" s="972"/>
    </row>
    <row r="145" spans="1:12" ht="23.25">
      <c r="A145" s="971">
        <v>3</v>
      </c>
      <c r="B145" s="971"/>
      <c r="C145" s="971"/>
      <c r="D145" s="971"/>
      <c r="E145" s="971"/>
      <c r="F145" s="971"/>
      <c r="G145" s="971"/>
      <c r="H145" s="973">
        <v>3</v>
      </c>
      <c r="I145" s="973"/>
      <c r="J145" s="973"/>
      <c r="K145" s="973"/>
      <c r="L145" s="973"/>
    </row>
    <row r="148" spans="1:12" ht="13.5" thickBot="1"/>
    <row r="149" spans="1:12" ht="24" thickBot="1">
      <c r="A149" s="140" t="s">
        <v>970</v>
      </c>
      <c r="B149" s="140"/>
      <c r="C149" s="140"/>
      <c r="D149" s="140"/>
      <c r="E149" s="140"/>
      <c r="F149" s="140"/>
      <c r="H149" s="977" t="s">
        <v>832</v>
      </c>
      <c r="I149" s="978"/>
      <c r="J149" s="979"/>
    </row>
    <row r="150" spans="1:12" ht="23.25">
      <c r="A150" s="82"/>
      <c r="B150" s="974" t="s">
        <v>554</v>
      </c>
      <c r="C150" s="974"/>
      <c r="D150" s="974"/>
      <c r="E150" s="974"/>
      <c r="F150" s="974"/>
    </row>
    <row r="151" spans="1:12" ht="23.25">
      <c r="A151" s="975" t="s">
        <v>555</v>
      </c>
      <c r="B151" s="975"/>
      <c r="C151" s="975"/>
      <c r="D151" s="975"/>
      <c r="E151" s="975"/>
      <c r="F151" s="975"/>
      <c r="G151" s="975"/>
      <c r="H151" s="976" t="s">
        <v>556</v>
      </c>
      <c r="I151" s="976"/>
      <c r="J151" s="976"/>
      <c r="K151" s="976"/>
      <c r="L151" s="976"/>
    </row>
    <row r="152" spans="1:12" ht="23.25">
      <c r="A152" s="971">
        <v>1</v>
      </c>
      <c r="B152" s="971"/>
      <c r="C152" s="971"/>
      <c r="D152" s="971"/>
      <c r="E152" s="971"/>
      <c r="F152" s="971"/>
      <c r="G152" s="971"/>
      <c r="H152" s="972">
        <v>1</v>
      </c>
      <c r="I152" s="972"/>
      <c r="J152" s="972"/>
      <c r="K152" s="972"/>
      <c r="L152" s="972"/>
    </row>
    <row r="153" spans="1:12" ht="23.25">
      <c r="A153" s="971">
        <v>2</v>
      </c>
      <c r="B153" s="971"/>
      <c r="C153" s="971"/>
      <c r="D153" s="971"/>
      <c r="E153" s="971"/>
      <c r="F153" s="971"/>
      <c r="G153" s="971"/>
      <c r="H153" s="972">
        <v>2</v>
      </c>
      <c r="I153" s="972"/>
      <c r="J153" s="972"/>
      <c r="K153" s="972"/>
      <c r="L153" s="972"/>
    </row>
    <row r="154" spans="1:12" ht="23.25">
      <c r="A154" s="971">
        <v>3</v>
      </c>
      <c r="B154" s="971"/>
      <c r="C154" s="971"/>
      <c r="D154" s="971"/>
      <c r="E154" s="971"/>
      <c r="F154" s="971"/>
      <c r="G154" s="971"/>
      <c r="H154" s="973">
        <v>3</v>
      </c>
      <c r="I154" s="973"/>
      <c r="J154" s="973"/>
      <c r="K154" s="973"/>
      <c r="L154" s="973"/>
    </row>
    <row r="155" spans="1:12" ht="23.25">
      <c r="A155" s="428"/>
      <c r="B155" s="428"/>
      <c r="C155" s="428"/>
      <c r="D155" s="428"/>
      <c r="E155" s="428"/>
      <c r="F155" s="428"/>
      <c r="G155" s="428"/>
      <c r="H155" s="429"/>
      <c r="I155" s="429"/>
      <c r="J155" s="429"/>
      <c r="K155" s="429"/>
      <c r="L155" s="429"/>
    </row>
    <row r="157" spans="1:12" ht="23.25">
      <c r="A157" s="82"/>
      <c r="B157" s="974" t="s">
        <v>557</v>
      </c>
      <c r="C157" s="974"/>
      <c r="D157" s="974"/>
      <c r="E157" s="974"/>
      <c r="F157" s="974"/>
    </row>
    <row r="158" spans="1:12" ht="23.25">
      <c r="A158" s="975" t="s">
        <v>129</v>
      </c>
      <c r="B158" s="975"/>
      <c r="C158" s="975"/>
      <c r="D158" s="975"/>
      <c r="E158" s="975"/>
      <c r="F158" s="975"/>
      <c r="G158" s="975"/>
      <c r="H158" s="976" t="s">
        <v>558</v>
      </c>
      <c r="I158" s="976"/>
      <c r="J158" s="976"/>
      <c r="K158" s="976"/>
      <c r="L158" s="976"/>
    </row>
    <row r="159" spans="1:12" ht="23.25">
      <c r="A159" s="972">
        <v>1</v>
      </c>
      <c r="B159" s="972"/>
      <c r="C159" s="972"/>
      <c r="D159" s="972"/>
      <c r="E159" s="972"/>
      <c r="F159" s="972"/>
      <c r="G159" s="972"/>
      <c r="H159" s="972">
        <v>1</v>
      </c>
      <c r="I159" s="972"/>
      <c r="J159" s="972"/>
      <c r="K159" s="972"/>
      <c r="L159" s="972"/>
    </row>
    <row r="160" spans="1:12" ht="23.25">
      <c r="A160" s="972">
        <v>2</v>
      </c>
      <c r="B160" s="972"/>
      <c r="C160" s="972"/>
      <c r="D160" s="972"/>
      <c r="E160" s="972"/>
      <c r="F160" s="972"/>
      <c r="G160" s="972"/>
      <c r="H160" s="972">
        <v>2</v>
      </c>
      <c r="I160" s="972"/>
      <c r="J160" s="972"/>
      <c r="K160" s="972"/>
      <c r="L160" s="972"/>
    </row>
    <row r="161" spans="1:12" ht="23.25">
      <c r="A161" s="972">
        <v>3</v>
      </c>
      <c r="B161" s="972"/>
      <c r="C161" s="972"/>
      <c r="D161" s="972"/>
      <c r="E161" s="972"/>
      <c r="F161" s="972"/>
      <c r="G161" s="972"/>
      <c r="H161" s="973">
        <v>3</v>
      </c>
      <c r="I161" s="973"/>
      <c r="J161" s="973"/>
      <c r="K161" s="973"/>
      <c r="L161" s="973"/>
    </row>
    <row r="162" spans="1:12" ht="23.25">
      <c r="A162" s="972">
        <v>4</v>
      </c>
      <c r="B162" s="972"/>
      <c r="C162" s="972"/>
      <c r="D162" s="972"/>
      <c r="E162" s="972"/>
      <c r="F162" s="972"/>
      <c r="G162" s="972"/>
      <c r="H162" s="973">
        <v>4</v>
      </c>
      <c r="I162" s="973"/>
      <c r="J162" s="973"/>
      <c r="K162" s="973"/>
      <c r="L162" s="973"/>
    </row>
    <row r="165" spans="1:12" ht="23.25">
      <c r="A165" s="82"/>
      <c r="B165" s="974" t="s">
        <v>559</v>
      </c>
      <c r="C165" s="974"/>
      <c r="D165" s="974"/>
      <c r="E165" s="974"/>
      <c r="F165" s="974"/>
    </row>
    <row r="166" spans="1:12" ht="23.25">
      <c r="A166" s="975" t="s">
        <v>561</v>
      </c>
      <c r="B166" s="975"/>
      <c r="C166" s="975"/>
      <c r="D166" s="975"/>
      <c r="E166" s="975"/>
      <c r="F166" s="975"/>
      <c r="G166" s="975"/>
      <c r="H166" s="976" t="s">
        <v>560</v>
      </c>
      <c r="I166" s="976"/>
      <c r="J166" s="976"/>
      <c r="K166" s="976"/>
      <c r="L166" s="976"/>
    </row>
    <row r="167" spans="1:12" ht="23.25">
      <c r="A167" s="971">
        <v>1</v>
      </c>
      <c r="B167" s="971"/>
      <c r="C167" s="971"/>
      <c r="D167" s="971"/>
      <c r="E167" s="971"/>
      <c r="F167" s="971"/>
      <c r="G167" s="971"/>
      <c r="H167" s="972">
        <v>1</v>
      </c>
      <c r="I167" s="972"/>
      <c r="J167" s="972"/>
      <c r="K167" s="972"/>
      <c r="L167" s="972"/>
    </row>
    <row r="168" spans="1:12" ht="23.25">
      <c r="A168" s="971">
        <v>2</v>
      </c>
      <c r="B168" s="971"/>
      <c r="C168" s="971"/>
      <c r="D168" s="971"/>
      <c r="E168" s="971"/>
      <c r="F168" s="971"/>
      <c r="G168" s="971"/>
      <c r="H168" s="972">
        <v>2</v>
      </c>
      <c r="I168" s="972"/>
      <c r="J168" s="972"/>
      <c r="K168" s="972"/>
      <c r="L168" s="972"/>
    </row>
    <row r="169" spans="1:12" ht="23.25">
      <c r="A169" s="971">
        <v>3</v>
      </c>
      <c r="B169" s="971"/>
      <c r="C169" s="971"/>
      <c r="D169" s="971"/>
      <c r="E169" s="971"/>
      <c r="F169" s="971"/>
      <c r="G169" s="971"/>
      <c r="H169" s="973">
        <v>3</v>
      </c>
      <c r="I169" s="973"/>
      <c r="J169" s="973"/>
      <c r="K169" s="973"/>
      <c r="L169" s="973"/>
    </row>
    <row r="172" spans="1:12" ht="13.5" thickBot="1"/>
    <row r="173" spans="1:12" ht="24" thickBot="1">
      <c r="A173" s="140" t="s">
        <v>970</v>
      </c>
      <c r="B173" s="140"/>
      <c r="C173" s="140"/>
      <c r="D173" s="140"/>
      <c r="E173" s="140"/>
      <c r="F173" s="140"/>
      <c r="H173" s="977" t="s">
        <v>833</v>
      </c>
      <c r="I173" s="978"/>
      <c r="J173" s="979"/>
    </row>
    <row r="174" spans="1:12" ht="23.25">
      <c r="A174" s="82"/>
      <c r="B174" s="974" t="s">
        <v>554</v>
      </c>
      <c r="C174" s="974"/>
      <c r="D174" s="974"/>
      <c r="E174" s="974"/>
      <c r="F174" s="974"/>
    </row>
    <row r="175" spans="1:12" ht="23.25">
      <c r="A175" s="975" t="s">
        <v>555</v>
      </c>
      <c r="B175" s="975"/>
      <c r="C175" s="975"/>
      <c r="D175" s="975"/>
      <c r="E175" s="975"/>
      <c r="F175" s="975"/>
      <c r="G175" s="975"/>
      <c r="H175" s="976" t="s">
        <v>556</v>
      </c>
      <c r="I175" s="976"/>
      <c r="J175" s="976"/>
      <c r="K175" s="976"/>
      <c r="L175" s="976"/>
    </row>
    <row r="176" spans="1:12" ht="23.25">
      <c r="A176" s="971">
        <v>1</v>
      </c>
      <c r="B176" s="971"/>
      <c r="C176" s="971"/>
      <c r="D176" s="971"/>
      <c r="E176" s="971"/>
      <c r="F176" s="971"/>
      <c r="G176" s="971"/>
      <c r="H176" s="972">
        <v>1</v>
      </c>
      <c r="I176" s="972"/>
      <c r="J176" s="972"/>
      <c r="K176" s="972"/>
      <c r="L176" s="972"/>
    </row>
    <row r="177" spans="1:12" ht="23.25">
      <c r="A177" s="971">
        <v>2</v>
      </c>
      <c r="B177" s="971"/>
      <c r="C177" s="971"/>
      <c r="D177" s="971"/>
      <c r="E177" s="971"/>
      <c r="F177" s="971"/>
      <c r="G177" s="971"/>
      <c r="H177" s="972">
        <v>2</v>
      </c>
      <c r="I177" s="972"/>
      <c r="J177" s="972"/>
      <c r="K177" s="972"/>
      <c r="L177" s="972"/>
    </row>
    <row r="178" spans="1:12" ht="23.25">
      <c r="A178" s="971">
        <v>3</v>
      </c>
      <c r="B178" s="971"/>
      <c r="C178" s="971"/>
      <c r="D178" s="971"/>
      <c r="E178" s="971"/>
      <c r="F178" s="971"/>
      <c r="G178" s="971"/>
      <c r="H178" s="973">
        <v>3</v>
      </c>
      <c r="I178" s="973"/>
      <c r="J178" s="973"/>
      <c r="K178" s="973"/>
      <c r="L178" s="973"/>
    </row>
    <row r="179" spans="1:12" ht="23.25">
      <c r="A179" s="428"/>
      <c r="B179" s="428"/>
      <c r="C179" s="428"/>
      <c r="D179" s="428"/>
      <c r="E179" s="428"/>
      <c r="F179" s="428"/>
      <c r="G179" s="428"/>
      <c r="H179" s="429"/>
      <c r="I179" s="429"/>
      <c r="J179" s="429"/>
      <c r="K179" s="429"/>
      <c r="L179" s="429"/>
    </row>
    <row r="181" spans="1:12" ht="23.25">
      <c r="A181" s="82"/>
      <c r="B181" s="974" t="s">
        <v>557</v>
      </c>
      <c r="C181" s="974"/>
      <c r="D181" s="974"/>
      <c r="E181" s="974"/>
      <c r="F181" s="974"/>
    </row>
    <row r="182" spans="1:12" ht="23.25">
      <c r="A182" s="975" t="s">
        <v>129</v>
      </c>
      <c r="B182" s="975"/>
      <c r="C182" s="975"/>
      <c r="D182" s="975"/>
      <c r="E182" s="975"/>
      <c r="F182" s="975"/>
      <c r="G182" s="975"/>
      <c r="H182" s="976" t="s">
        <v>558</v>
      </c>
      <c r="I182" s="976"/>
      <c r="J182" s="976"/>
      <c r="K182" s="976"/>
      <c r="L182" s="976"/>
    </row>
    <row r="183" spans="1:12" ht="23.25">
      <c r="A183" s="972">
        <v>1</v>
      </c>
      <c r="B183" s="972"/>
      <c r="C183" s="972"/>
      <c r="D183" s="972"/>
      <c r="E183" s="972"/>
      <c r="F183" s="972"/>
      <c r="G183" s="972"/>
      <c r="H183" s="972">
        <v>1</v>
      </c>
      <c r="I183" s="972"/>
      <c r="J183" s="972"/>
      <c r="K183" s="972"/>
      <c r="L183" s="972"/>
    </row>
    <row r="184" spans="1:12" ht="23.25">
      <c r="A184" s="972">
        <v>2</v>
      </c>
      <c r="B184" s="972"/>
      <c r="C184" s="972"/>
      <c r="D184" s="972"/>
      <c r="E184" s="972"/>
      <c r="F184" s="972"/>
      <c r="G184" s="972"/>
      <c r="H184" s="972">
        <v>2</v>
      </c>
      <c r="I184" s="972"/>
      <c r="J184" s="972"/>
      <c r="K184" s="972"/>
      <c r="L184" s="972"/>
    </row>
    <row r="185" spans="1:12" ht="23.25">
      <c r="A185" s="972">
        <v>3</v>
      </c>
      <c r="B185" s="972"/>
      <c r="C185" s="972"/>
      <c r="D185" s="972"/>
      <c r="E185" s="972"/>
      <c r="F185" s="972"/>
      <c r="G185" s="972"/>
      <c r="H185" s="973">
        <v>3</v>
      </c>
      <c r="I185" s="973"/>
      <c r="J185" s="973"/>
      <c r="K185" s="973"/>
      <c r="L185" s="973"/>
    </row>
    <row r="186" spans="1:12" ht="23.25">
      <c r="A186" s="972">
        <v>4</v>
      </c>
      <c r="B186" s="972"/>
      <c r="C186" s="972"/>
      <c r="D186" s="972"/>
      <c r="E186" s="972"/>
      <c r="F186" s="972"/>
      <c r="G186" s="972"/>
      <c r="H186" s="973">
        <v>4</v>
      </c>
      <c r="I186" s="973"/>
      <c r="J186" s="973"/>
      <c r="K186" s="973"/>
      <c r="L186" s="973"/>
    </row>
    <row r="189" spans="1:12" ht="23.25">
      <c r="A189" s="82"/>
      <c r="B189" s="974" t="s">
        <v>559</v>
      </c>
      <c r="C189" s="974"/>
      <c r="D189" s="974"/>
      <c r="E189" s="974"/>
      <c r="F189" s="974"/>
    </row>
    <row r="190" spans="1:12" ht="23.25">
      <c r="A190" s="975" t="s">
        <v>561</v>
      </c>
      <c r="B190" s="975"/>
      <c r="C190" s="975"/>
      <c r="D190" s="975"/>
      <c r="E190" s="975"/>
      <c r="F190" s="975"/>
      <c r="G190" s="975"/>
      <c r="H190" s="976" t="s">
        <v>560</v>
      </c>
      <c r="I190" s="976"/>
      <c r="J190" s="976"/>
      <c r="K190" s="976"/>
      <c r="L190" s="976"/>
    </row>
    <row r="191" spans="1:12" ht="23.25">
      <c r="A191" s="971">
        <v>1</v>
      </c>
      <c r="B191" s="971"/>
      <c r="C191" s="971"/>
      <c r="D191" s="971"/>
      <c r="E191" s="971"/>
      <c r="F191" s="971"/>
      <c r="G191" s="971"/>
      <c r="H191" s="972">
        <v>1</v>
      </c>
      <c r="I191" s="972"/>
      <c r="J191" s="972"/>
      <c r="K191" s="972"/>
      <c r="L191" s="972"/>
    </row>
    <row r="192" spans="1:12" ht="23.25">
      <c r="A192" s="971">
        <v>2</v>
      </c>
      <c r="B192" s="971"/>
      <c r="C192" s="971"/>
      <c r="D192" s="971"/>
      <c r="E192" s="971"/>
      <c r="F192" s="971"/>
      <c r="G192" s="971"/>
      <c r="H192" s="972">
        <v>2</v>
      </c>
      <c r="I192" s="972"/>
      <c r="J192" s="972"/>
      <c r="K192" s="972"/>
      <c r="L192" s="972"/>
    </row>
    <row r="193" spans="1:12" ht="23.25">
      <c r="A193" s="971">
        <v>3</v>
      </c>
      <c r="B193" s="971"/>
      <c r="C193" s="971"/>
      <c r="D193" s="971"/>
      <c r="E193" s="971"/>
      <c r="F193" s="971"/>
      <c r="G193" s="971"/>
      <c r="H193" s="973">
        <v>3</v>
      </c>
      <c r="I193" s="973"/>
      <c r="J193" s="973"/>
      <c r="K193" s="973"/>
      <c r="L193" s="973"/>
    </row>
    <row r="196" spans="1:12" ht="13.5" thickBot="1"/>
    <row r="197" spans="1:12" ht="24" thickBot="1">
      <c r="A197" s="140" t="s">
        <v>970</v>
      </c>
      <c r="B197" s="140"/>
      <c r="C197" s="140"/>
      <c r="D197" s="140"/>
      <c r="E197" s="140"/>
      <c r="F197" s="140"/>
      <c r="H197" s="977" t="s">
        <v>834</v>
      </c>
      <c r="I197" s="978"/>
      <c r="J197" s="979"/>
    </row>
    <row r="198" spans="1:12" ht="23.25">
      <c r="A198" s="82"/>
      <c r="B198" s="974" t="s">
        <v>554</v>
      </c>
      <c r="C198" s="974"/>
      <c r="D198" s="974"/>
      <c r="E198" s="974"/>
      <c r="F198" s="974"/>
    </row>
    <row r="199" spans="1:12" ht="23.25">
      <c r="A199" s="975" t="s">
        <v>555</v>
      </c>
      <c r="B199" s="975"/>
      <c r="C199" s="975"/>
      <c r="D199" s="975"/>
      <c r="E199" s="975"/>
      <c r="F199" s="975"/>
      <c r="G199" s="975"/>
      <c r="H199" s="976" t="s">
        <v>556</v>
      </c>
      <c r="I199" s="976"/>
      <c r="J199" s="976"/>
      <c r="K199" s="976"/>
      <c r="L199" s="976"/>
    </row>
    <row r="200" spans="1:12" ht="23.25">
      <c r="A200" s="971">
        <v>1</v>
      </c>
      <c r="B200" s="971"/>
      <c r="C200" s="971"/>
      <c r="D200" s="971"/>
      <c r="E200" s="971"/>
      <c r="F200" s="971"/>
      <c r="G200" s="971"/>
      <c r="H200" s="972">
        <v>1</v>
      </c>
      <c r="I200" s="972"/>
      <c r="J200" s="972"/>
      <c r="K200" s="972"/>
      <c r="L200" s="972"/>
    </row>
    <row r="201" spans="1:12" ht="23.25">
      <c r="A201" s="971">
        <v>2</v>
      </c>
      <c r="B201" s="971"/>
      <c r="C201" s="971"/>
      <c r="D201" s="971"/>
      <c r="E201" s="971"/>
      <c r="F201" s="971"/>
      <c r="G201" s="971"/>
      <c r="H201" s="972">
        <v>2</v>
      </c>
      <c r="I201" s="972"/>
      <c r="J201" s="972"/>
      <c r="K201" s="972"/>
      <c r="L201" s="972"/>
    </row>
    <row r="202" spans="1:12" ht="23.25">
      <c r="A202" s="971">
        <v>3</v>
      </c>
      <c r="B202" s="971"/>
      <c r="C202" s="971"/>
      <c r="D202" s="971"/>
      <c r="E202" s="971"/>
      <c r="F202" s="971"/>
      <c r="G202" s="971"/>
      <c r="H202" s="973">
        <v>3</v>
      </c>
      <c r="I202" s="973"/>
      <c r="J202" s="973"/>
      <c r="K202" s="973"/>
      <c r="L202" s="973"/>
    </row>
    <row r="203" spans="1:12" ht="23.25">
      <c r="A203" s="428"/>
      <c r="B203" s="428"/>
      <c r="C203" s="428"/>
      <c r="D203" s="428"/>
      <c r="E203" s="428"/>
      <c r="F203" s="428"/>
      <c r="G203" s="428"/>
      <c r="H203" s="429"/>
      <c r="I203" s="429"/>
      <c r="J203" s="429"/>
      <c r="K203" s="429"/>
      <c r="L203" s="429"/>
    </row>
    <row r="205" spans="1:12" ht="23.25">
      <c r="A205" s="82"/>
      <c r="B205" s="974" t="s">
        <v>557</v>
      </c>
      <c r="C205" s="974"/>
      <c r="D205" s="974"/>
      <c r="E205" s="974"/>
      <c r="F205" s="974"/>
    </row>
    <row r="206" spans="1:12" ht="23.25">
      <c r="A206" s="975" t="s">
        <v>129</v>
      </c>
      <c r="B206" s="975"/>
      <c r="C206" s="975"/>
      <c r="D206" s="975"/>
      <c r="E206" s="975"/>
      <c r="F206" s="975"/>
      <c r="G206" s="975"/>
      <c r="H206" s="976" t="s">
        <v>558</v>
      </c>
      <c r="I206" s="976"/>
      <c r="J206" s="976"/>
      <c r="K206" s="976"/>
      <c r="L206" s="976"/>
    </row>
    <row r="207" spans="1:12" ht="23.25">
      <c r="A207" s="972">
        <v>1</v>
      </c>
      <c r="B207" s="972"/>
      <c r="C207" s="972"/>
      <c r="D207" s="972"/>
      <c r="E207" s="972"/>
      <c r="F207" s="972"/>
      <c r="G207" s="972"/>
      <c r="H207" s="972">
        <v>1</v>
      </c>
      <c r="I207" s="972"/>
      <c r="J207" s="972"/>
      <c r="K207" s="972"/>
      <c r="L207" s="972"/>
    </row>
    <row r="208" spans="1:12" ht="23.25">
      <c r="A208" s="972">
        <v>2</v>
      </c>
      <c r="B208" s="972"/>
      <c r="C208" s="972"/>
      <c r="D208" s="972"/>
      <c r="E208" s="972"/>
      <c r="F208" s="972"/>
      <c r="G208" s="972"/>
      <c r="H208" s="972">
        <v>2</v>
      </c>
      <c r="I208" s="972"/>
      <c r="J208" s="972"/>
      <c r="K208" s="972"/>
      <c r="L208" s="972"/>
    </row>
    <row r="209" spans="1:12" ht="23.25">
      <c r="A209" s="972">
        <v>3</v>
      </c>
      <c r="B209" s="972"/>
      <c r="C209" s="972"/>
      <c r="D209" s="972"/>
      <c r="E209" s="972"/>
      <c r="F209" s="972"/>
      <c r="G209" s="972"/>
      <c r="H209" s="973">
        <v>3</v>
      </c>
      <c r="I209" s="973"/>
      <c r="J209" s="973"/>
      <c r="K209" s="973"/>
      <c r="L209" s="973"/>
    </row>
    <row r="210" spans="1:12" ht="23.25">
      <c r="A210" s="972">
        <v>4</v>
      </c>
      <c r="B210" s="972"/>
      <c r="C210" s="972"/>
      <c r="D210" s="972"/>
      <c r="E210" s="972"/>
      <c r="F210" s="972"/>
      <c r="G210" s="972"/>
      <c r="H210" s="973">
        <v>4</v>
      </c>
      <c r="I210" s="973"/>
      <c r="J210" s="973"/>
      <c r="K210" s="973"/>
      <c r="L210" s="973"/>
    </row>
    <row r="213" spans="1:12" ht="23.25">
      <c r="A213" s="82"/>
      <c r="B213" s="974" t="s">
        <v>559</v>
      </c>
      <c r="C213" s="974"/>
      <c r="D213" s="974"/>
      <c r="E213" s="974"/>
      <c r="F213" s="974"/>
    </row>
    <row r="214" spans="1:12" ht="23.25">
      <c r="A214" s="975" t="s">
        <v>561</v>
      </c>
      <c r="B214" s="975"/>
      <c r="C214" s="975"/>
      <c r="D214" s="975"/>
      <c r="E214" s="975"/>
      <c r="F214" s="975"/>
      <c r="G214" s="975"/>
      <c r="H214" s="976" t="s">
        <v>560</v>
      </c>
      <c r="I214" s="976"/>
      <c r="J214" s="976"/>
      <c r="K214" s="976"/>
      <c r="L214" s="976"/>
    </row>
    <row r="215" spans="1:12" ht="23.25">
      <c r="A215" s="971">
        <v>1</v>
      </c>
      <c r="B215" s="971"/>
      <c r="C215" s="971"/>
      <c r="D215" s="971"/>
      <c r="E215" s="971"/>
      <c r="F215" s="971"/>
      <c r="G215" s="971"/>
      <c r="H215" s="972">
        <v>1</v>
      </c>
      <c r="I215" s="972"/>
      <c r="J215" s="972"/>
      <c r="K215" s="972"/>
      <c r="L215" s="972"/>
    </row>
    <row r="216" spans="1:12" ht="23.25">
      <c r="A216" s="971">
        <v>2</v>
      </c>
      <c r="B216" s="971"/>
      <c r="C216" s="971"/>
      <c r="D216" s="971"/>
      <c r="E216" s="971"/>
      <c r="F216" s="971"/>
      <c r="G216" s="971"/>
      <c r="H216" s="972">
        <v>2</v>
      </c>
      <c r="I216" s="972"/>
      <c r="J216" s="972"/>
      <c r="K216" s="972"/>
      <c r="L216" s="972"/>
    </row>
    <row r="217" spans="1:12" ht="23.25">
      <c r="A217" s="971">
        <v>3</v>
      </c>
      <c r="B217" s="971"/>
      <c r="C217" s="971"/>
      <c r="D217" s="971"/>
      <c r="E217" s="971"/>
      <c r="F217" s="971"/>
      <c r="G217" s="971"/>
      <c r="H217" s="973">
        <v>3</v>
      </c>
      <c r="I217" s="973"/>
      <c r="J217" s="973"/>
      <c r="K217" s="973"/>
      <c r="L217" s="973"/>
    </row>
  </sheetData>
  <mergeCells count="266">
    <mergeCell ref="A217:G217"/>
    <mergeCell ref="H217:L217"/>
    <mergeCell ref="B213:F213"/>
    <mergeCell ref="A214:G214"/>
    <mergeCell ref="H214:L214"/>
    <mergeCell ref="A215:G215"/>
    <mergeCell ref="H215:L215"/>
    <mergeCell ref="A216:G216"/>
    <mergeCell ref="H216:L216"/>
    <mergeCell ref="A208:G208"/>
    <mergeCell ref="H208:L208"/>
    <mergeCell ref="A209:G209"/>
    <mergeCell ref="H209:L209"/>
    <mergeCell ref="A210:G210"/>
    <mergeCell ref="H210:L210"/>
    <mergeCell ref="A202:G202"/>
    <mergeCell ref="H202:L202"/>
    <mergeCell ref="B205:F205"/>
    <mergeCell ref="A206:G206"/>
    <mergeCell ref="H206:L206"/>
    <mergeCell ref="A207:G207"/>
    <mergeCell ref="H207:L207"/>
    <mergeCell ref="A199:G199"/>
    <mergeCell ref="H199:L199"/>
    <mergeCell ref="A200:G200"/>
    <mergeCell ref="H200:L200"/>
    <mergeCell ref="A201:G201"/>
    <mergeCell ref="H201:L201"/>
    <mergeCell ref="A192:G192"/>
    <mergeCell ref="H192:L192"/>
    <mergeCell ref="A193:G193"/>
    <mergeCell ref="H193:L193"/>
    <mergeCell ref="H197:J197"/>
    <mergeCell ref="B198:F198"/>
    <mergeCell ref="A186:G186"/>
    <mergeCell ref="H186:L186"/>
    <mergeCell ref="B189:F189"/>
    <mergeCell ref="A190:G190"/>
    <mergeCell ref="H190:L190"/>
    <mergeCell ref="A191:G191"/>
    <mergeCell ref="H191:L191"/>
    <mergeCell ref="A183:G183"/>
    <mergeCell ref="H183:L183"/>
    <mergeCell ref="A184:G184"/>
    <mergeCell ref="H184:L184"/>
    <mergeCell ref="A185:G185"/>
    <mergeCell ref="H185:L185"/>
    <mergeCell ref="A177:G177"/>
    <mergeCell ref="H177:L177"/>
    <mergeCell ref="A178:G178"/>
    <mergeCell ref="H178:L178"/>
    <mergeCell ref="B181:F181"/>
    <mergeCell ref="A182:G182"/>
    <mergeCell ref="H182:L182"/>
    <mergeCell ref="H173:J173"/>
    <mergeCell ref="B174:F174"/>
    <mergeCell ref="A175:G175"/>
    <mergeCell ref="H175:L175"/>
    <mergeCell ref="A176:G176"/>
    <mergeCell ref="H176:L176"/>
    <mergeCell ref="A167:G167"/>
    <mergeCell ref="H167:L167"/>
    <mergeCell ref="A168:G168"/>
    <mergeCell ref="H168:L168"/>
    <mergeCell ref="A169:G169"/>
    <mergeCell ref="H169:L169"/>
    <mergeCell ref="A161:G161"/>
    <mergeCell ref="H161:L161"/>
    <mergeCell ref="A162:G162"/>
    <mergeCell ref="H162:L162"/>
    <mergeCell ref="B165:F165"/>
    <mergeCell ref="A166:G166"/>
    <mergeCell ref="H166:L166"/>
    <mergeCell ref="B157:F157"/>
    <mergeCell ref="A158:G158"/>
    <mergeCell ref="H158:L158"/>
    <mergeCell ref="A159:G159"/>
    <mergeCell ref="H159:L159"/>
    <mergeCell ref="A160:G160"/>
    <mergeCell ref="H160:L160"/>
    <mergeCell ref="A152:G152"/>
    <mergeCell ref="H152:L152"/>
    <mergeCell ref="A153:G153"/>
    <mergeCell ref="H153:L153"/>
    <mergeCell ref="A154:G154"/>
    <mergeCell ref="H154:L154"/>
    <mergeCell ref="A145:G145"/>
    <mergeCell ref="H145:L145"/>
    <mergeCell ref="H149:J149"/>
    <mergeCell ref="B150:F150"/>
    <mergeCell ref="A151:G151"/>
    <mergeCell ref="H151:L151"/>
    <mergeCell ref="B141:F141"/>
    <mergeCell ref="A142:G142"/>
    <mergeCell ref="H142:L142"/>
    <mergeCell ref="A143:G143"/>
    <mergeCell ref="H143:L143"/>
    <mergeCell ref="A144:G144"/>
    <mergeCell ref="H144:L144"/>
    <mergeCell ref="A136:G136"/>
    <mergeCell ref="H136:L136"/>
    <mergeCell ref="A137:G137"/>
    <mergeCell ref="H137:L137"/>
    <mergeCell ref="A138:G138"/>
    <mergeCell ref="H138:L138"/>
    <mergeCell ref="A130:G130"/>
    <mergeCell ref="H130:L130"/>
    <mergeCell ref="B133:F133"/>
    <mergeCell ref="A134:G134"/>
    <mergeCell ref="H134:L134"/>
    <mergeCell ref="A135:G135"/>
    <mergeCell ref="H135:L135"/>
    <mergeCell ref="A127:G127"/>
    <mergeCell ref="H127:L127"/>
    <mergeCell ref="A128:G128"/>
    <mergeCell ref="H128:L128"/>
    <mergeCell ref="A129:G129"/>
    <mergeCell ref="H129:L129"/>
    <mergeCell ref="A120:G120"/>
    <mergeCell ref="H120:L120"/>
    <mergeCell ref="A121:G121"/>
    <mergeCell ref="H121:L121"/>
    <mergeCell ref="H125:J125"/>
    <mergeCell ref="B126:F126"/>
    <mergeCell ref="A114:G114"/>
    <mergeCell ref="H114:L114"/>
    <mergeCell ref="B117:F117"/>
    <mergeCell ref="A118:G118"/>
    <mergeCell ref="H118:L118"/>
    <mergeCell ref="A119:G119"/>
    <mergeCell ref="H119:L119"/>
    <mergeCell ref="A111:G111"/>
    <mergeCell ref="H111:L111"/>
    <mergeCell ref="A112:G112"/>
    <mergeCell ref="H112:L112"/>
    <mergeCell ref="A113:G113"/>
    <mergeCell ref="H113:L113"/>
    <mergeCell ref="A105:G105"/>
    <mergeCell ref="H105:L105"/>
    <mergeCell ref="A106:G106"/>
    <mergeCell ref="H106:L106"/>
    <mergeCell ref="B109:F109"/>
    <mergeCell ref="A110:G110"/>
    <mergeCell ref="H110:L110"/>
    <mergeCell ref="H101:J101"/>
    <mergeCell ref="B102:F102"/>
    <mergeCell ref="A103:G103"/>
    <mergeCell ref="H103:L103"/>
    <mergeCell ref="A104:G104"/>
    <mergeCell ref="H104:L104"/>
    <mergeCell ref="A94:G94"/>
    <mergeCell ref="H94:L94"/>
    <mergeCell ref="A95:G95"/>
    <mergeCell ref="H95:L95"/>
    <mergeCell ref="A96:G96"/>
    <mergeCell ref="H96:L96"/>
    <mergeCell ref="A88:G88"/>
    <mergeCell ref="H88:L88"/>
    <mergeCell ref="A89:G89"/>
    <mergeCell ref="H89:L89"/>
    <mergeCell ref="B92:F92"/>
    <mergeCell ref="A93:G93"/>
    <mergeCell ref="H93:L93"/>
    <mergeCell ref="B84:F84"/>
    <mergeCell ref="A85:G85"/>
    <mergeCell ref="H85:L85"/>
    <mergeCell ref="A86:G86"/>
    <mergeCell ref="H86:L86"/>
    <mergeCell ref="A87:G87"/>
    <mergeCell ref="H87:L87"/>
    <mergeCell ref="A79:G79"/>
    <mergeCell ref="H79:L79"/>
    <mergeCell ref="A80:G80"/>
    <mergeCell ref="H80:L80"/>
    <mergeCell ref="A81:G81"/>
    <mergeCell ref="H81:L81"/>
    <mergeCell ref="A72:G72"/>
    <mergeCell ref="H72:L72"/>
    <mergeCell ref="H76:J76"/>
    <mergeCell ref="B77:F77"/>
    <mergeCell ref="A78:G78"/>
    <mergeCell ref="H78:L78"/>
    <mergeCell ref="B68:F68"/>
    <mergeCell ref="A69:G69"/>
    <mergeCell ref="H69:L69"/>
    <mergeCell ref="A70:G70"/>
    <mergeCell ref="H70:L70"/>
    <mergeCell ref="A71:G71"/>
    <mergeCell ref="H71:L71"/>
    <mergeCell ref="A63:G63"/>
    <mergeCell ref="H63:L63"/>
    <mergeCell ref="A64:G64"/>
    <mergeCell ref="H64:L64"/>
    <mergeCell ref="A65:G65"/>
    <mergeCell ref="H65:L65"/>
    <mergeCell ref="A57:G57"/>
    <mergeCell ref="H57:L57"/>
    <mergeCell ref="B60:F60"/>
    <mergeCell ref="A61:G61"/>
    <mergeCell ref="H61:L61"/>
    <mergeCell ref="A62:G62"/>
    <mergeCell ref="H62:L62"/>
    <mergeCell ref="A54:G54"/>
    <mergeCell ref="H54:L54"/>
    <mergeCell ref="A55:G55"/>
    <mergeCell ref="H55:L55"/>
    <mergeCell ref="A56:G56"/>
    <mergeCell ref="H56:L56"/>
    <mergeCell ref="H52:J52"/>
    <mergeCell ref="B53:F53"/>
    <mergeCell ref="B45:F45"/>
    <mergeCell ref="A46:G46"/>
    <mergeCell ref="H46:L46"/>
    <mergeCell ref="A47:G47"/>
    <mergeCell ref="H47:L47"/>
    <mergeCell ref="A41:G41"/>
    <mergeCell ref="H41:L41"/>
    <mergeCell ref="A42:G42"/>
    <mergeCell ref="H42:L42"/>
    <mergeCell ref="A35:G35"/>
    <mergeCell ref="H35:L35"/>
    <mergeCell ref="A36:G36"/>
    <mergeCell ref="H36:L36"/>
    <mergeCell ref="B39:F39"/>
    <mergeCell ref="A40:G40"/>
    <mergeCell ref="H40:L40"/>
    <mergeCell ref="H31:J31"/>
    <mergeCell ref="B32:F32"/>
    <mergeCell ref="A33:G33"/>
    <mergeCell ref="H33:L33"/>
    <mergeCell ref="A34:G34"/>
    <mergeCell ref="H34:L34"/>
    <mergeCell ref="A24:G24"/>
    <mergeCell ref="H24:L24"/>
    <mergeCell ref="A25:G25"/>
    <mergeCell ref="H25:L25"/>
    <mergeCell ref="A26:G26"/>
    <mergeCell ref="H26:L26"/>
    <mergeCell ref="A18:G18"/>
    <mergeCell ref="H18:L18"/>
    <mergeCell ref="A19:G19"/>
    <mergeCell ref="H19:L19"/>
    <mergeCell ref="B22:F22"/>
    <mergeCell ref="A23:G23"/>
    <mergeCell ref="H23:L23"/>
    <mergeCell ref="B14:F14"/>
    <mergeCell ref="A15:G15"/>
    <mergeCell ref="H15:L15"/>
    <mergeCell ref="A16:G16"/>
    <mergeCell ref="H16:L16"/>
    <mergeCell ref="A17:G17"/>
    <mergeCell ref="H17:L17"/>
    <mergeCell ref="A9:G9"/>
    <mergeCell ref="H9:L9"/>
    <mergeCell ref="A10:G10"/>
    <mergeCell ref="H10:L10"/>
    <mergeCell ref="A11:G11"/>
    <mergeCell ref="H11:L11"/>
    <mergeCell ref="A1:L1"/>
    <mergeCell ref="A2:L2"/>
    <mergeCell ref="A3:L3"/>
    <mergeCell ref="A4:L4"/>
    <mergeCell ref="B7:F7"/>
    <mergeCell ref="A8:G8"/>
    <mergeCell ref="H8:L8"/>
    <mergeCell ref="H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Normal="100" zoomScaleSheetLayoutView="100" workbookViewId="0">
      <selection activeCell="N23" sqref="N23"/>
    </sheetView>
  </sheetViews>
  <sheetFormatPr defaultRowHeight="20.25"/>
  <cols>
    <col min="1" max="1" width="9.85546875" style="426" customWidth="1"/>
    <col min="2" max="2" width="12.28515625" style="426" customWidth="1"/>
    <col min="3" max="16384" width="9.140625" style="426"/>
  </cols>
  <sheetData>
    <row r="1" spans="1:12" ht="26.25">
      <c r="A1" s="704" t="s">
        <v>968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23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3.25">
      <c r="A3" s="126" t="s">
        <v>527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3.25">
      <c r="A4" s="82"/>
      <c r="B4" s="700" t="s">
        <v>545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</row>
    <row r="5" spans="1:12" ht="23.25">
      <c r="A5" s="82" t="s">
        <v>545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23.25">
      <c r="A6" s="82" t="s">
        <v>545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23.25">
      <c r="A7" s="82" t="s">
        <v>545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23.25">
      <c r="A8" s="82" t="s">
        <v>545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23.25">
      <c r="A9" s="82" t="s">
        <v>545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23.25">
      <c r="A10" s="82" t="s">
        <v>545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23.25">
      <c r="A11" s="126" t="s">
        <v>528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23.25">
      <c r="A12" s="82"/>
      <c r="B12" s="700" t="s">
        <v>545</v>
      </c>
      <c r="C12" s="700"/>
      <c r="D12" s="700"/>
      <c r="E12" s="700"/>
      <c r="F12" s="700"/>
      <c r="G12" s="700"/>
      <c r="H12" s="700"/>
      <c r="I12" s="700"/>
      <c r="J12" s="700"/>
      <c r="K12" s="700"/>
      <c r="L12" s="700"/>
    </row>
    <row r="13" spans="1:12" ht="23.25">
      <c r="A13" s="82"/>
      <c r="B13" s="700" t="s">
        <v>545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</row>
    <row r="14" spans="1:12" ht="23.25">
      <c r="A14" s="82"/>
      <c r="B14" s="700" t="s">
        <v>545</v>
      </c>
      <c r="C14" s="700"/>
      <c r="D14" s="700"/>
      <c r="E14" s="700"/>
      <c r="F14" s="700"/>
      <c r="G14" s="700"/>
      <c r="H14" s="700"/>
      <c r="I14" s="700"/>
      <c r="J14" s="700"/>
      <c r="K14" s="700"/>
      <c r="L14" s="700"/>
    </row>
    <row r="15" spans="1:12" ht="23.25">
      <c r="A15" s="82"/>
      <c r="B15" s="700" t="s">
        <v>545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</row>
    <row r="16" spans="1:12" ht="23.25">
      <c r="A16" s="82"/>
      <c r="B16" s="700" t="s">
        <v>545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</row>
    <row r="17" spans="1:12" ht="23.25">
      <c r="A17" s="126" t="s">
        <v>529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23.25">
      <c r="A18" s="82"/>
      <c r="B18" s="700" t="s">
        <v>545</v>
      </c>
      <c r="C18" s="700"/>
      <c r="D18" s="700"/>
      <c r="E18" s="700"/>
      <c r="F18" s="700"/>
      <c r="G18" s="700"/>
      <c r="H18" s="700"/>
      <c r="I18" s="700"/>
      <c r="J18" s="700"/>
      <c r="K18" s="700"/>
      <c r="L18" s="700"/>
    </row>
    <row r="19" spans="1:12" ht="23.25">
      <c r="A19" s="82"/>
      <c r="B19" s="700" t="s">
        <v>545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</row>
    <row r="20" spans="1:12" ht="23.25">
      <c r="A20" s="126" t="s">
        <v>530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23.25">
      <c r="A21" s="711" t="s">
        <v>544</v>
      </c>
      <c r="B21" s="712"/>
      <c r="C21" s="715" t="s">
        <v>531</v>
      </c>
      <c r="D21" s="716"/>
      <c r="E21" s="717"/>
      <c r="F21" s="715" t="s">
        <v>535</v>
      </c>
      <c r="G21" s="716"/>
      <c r="H21" s="717"/>
      <c r="I21" s="715" t="s">
        <v>539</v>
      </c>
      <c r="J21" s="716"/>
      <c r="K21" s="717"/>
      <c r="L21" s="508"/>
    </row>
    <row r="22" spans="1:12" ht="23.25">
      <c r="A22" s="713"/>
      <c r="B22" s="714"/>
      <c r="C22" s="508" t="s">
        <v>532</v>
      </c>
      <c r="D22" s="508" t="s">
        <v>533</v>
      </c>
      <c r="E22" s="508" t="s">
        <v>534</v>
      </c>
      <c r="F22" s="508" t="s">
        <v>536</v>
      </c>
      <c r="G22" s="508" t="s">
        <v>537</v>
      </c>
      <c r="H22" s="508" t="s">
        <v>538</v>
      </c>
      <c r="I22" s="508" t="s">
        <v>540</v>
      </c>
      <c r="J22" s="508" t="s">
        <v>542</v>
      </c>
      <c r="K22" s="508" t="s">
        <v>541</v>
      </c>
      <c r="L22" s="508" t="s">
        <v>543</v>
      </c>
    </row>
    <row r="23" spans="1:12" ht="23.25">
      <c r="A23" s="706"/>
      <c r="B23" s="707"/>
      <c r="C23" s="506"/>
      <c r="D23" s="437"/>
      <c r="E23" s="506"/>
      <c r="F23" s="437"/>
      <c r="G23" s="506"/>
      <c r="H23" s="437"/>
      <c r="I23" s="437"/>
      <c r="J23" s="506"/>
      <c r="K23" s="506"/>
      <c r="L23" s="506"/>
    </row>
    <row r="24" spans="1:12" ht="23.25">
      <c r="A24" s="708" t="s">
        <v>1</v>
      </c>
      <c r="B24" s="709"/>
      <c r="C24" s="438"/>
      <c r="D24" s="439"/>
      <c r="E24" s="438"/>
      <c r="F24" s="439"/>
      <c r="G24" s="438"/>
      <c r="H24" s="439"/>
      <c r="I24" s="439"/>
      <c r="J24" s="438"/>
      <c r="K24" s="438"/>
      <c r="L24" s="438"/>
    </row>
    <row r="25" spans="1:12" ht="23.25">
      <c r="A25" s="710"/>
      <c r="B25" s="710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23.25">
      <c r="A26" s="705" t="s">
        <v>546</v>
      </c>
      <c r="B26" s="705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23.25">
      <c r="A27" s="723" t="s">
        <v>547</v>
      </c>
      <c r="B27" s="724"/>
      <c r="C27" s="507" t="s">
        <v>548</v>
      </c>
      <c r="D27" s="718" t="s">
        <v>549</v>
      </c>
      <c r="E27" s="719"/>
      <c r="F27" s="720"/>
      <c r="G27" s="718" t="s">
        <v>550</v>
      </c>
      <c r="H27" s="719"/>
      <c r="I27" s="720"/>
      <c r="J27" s="718" t="s">
        <v>553</v>
      </c>
      <c r="K27" s="719"/>
      <c r="L27" s="720"/>
    </row>
    <row r="28" spans="1:12" ht="23.25">
      <c r="A28" s="725"/>
      <c r="B28" s="726"/>
      <c r="C28" s="507"/>
      <c r="D28" s="507" t="s">
        <v>551</v>
      </c>
      <c r="E28" s="507" t="s">
        <v>552</v>
      </c>
      <c r="F28" s="507" t="s">
        <v>1</v>
      </c>
      <c r="G28" s="507" t="s">
        <v>551</v>
      </c>
      <c r="H28" s="507" t="s">
        <v>552</v>
      </c>
      <c r="I28" s="507" t="s">
        <v>1</v>
      </c>
      <c r="J28" s="507" t="s">
        <v>551</v>
      </c>
      <c r="K28" s="507" t="s">
        <v>552</v>
      </c>
      <c r="L28" s="507" t="s">
        <v>1</v>
      </c>
    </row>
    <row r="29" spans="1:12" ht="23.25">
      <c r="A29" s="721"/>
      <c r="B29" s="722"/>
      <c r="C29" s="430"/>
      <c r="D29" s="430"/>
      <c r="E29" s="430"/>
      <c r="F29" s="430"/>
      <c r="G29" s="430"/>
      <c r="H29" s="430"/>
      <c r="I29" s="430"/>
      <c r="J29" s="430"/>
      <c r="K29" s="430"/>
      <c r="L29" s="430"/>
    </row>
    <row r="30" spans="1:12" ht="23.25">
      <c r="A30" s="721"/>
      <c r="B30" s="722"/>
      <c r="C30" s="430"/>
      <c r="D30" s="430"/>
      <c r="E30" s="430"/>
      <c r="F30" s="430"/>
      <c r="G30" s="430"/>
      <c r="H30" s="430"/>
      <c r="I30" s="430"/>
      <c r="J30" s="430"/>
      <c r="K30" s="430"/>
      <c r="L30" s="430"/>
    </row>
  </sheetData>
  <mergeCells count="23">
    <mergeCell ref="J27:L27"/>
    <mergeCell ref="A30:B30"/>
    <mergeCell ref="A29:B29"/>
    <mergeCell ref="A27:B28"/>
    <mergeCell ref="D27:F27"/>
    <mergeCell ref="G27:I27"/>
    <mergeCell ref="B18:L18"/>
    <mergeCell ref="B19:L19"/>
    <mergeCell ref="A26:B26"/>
    <mergeCell ref="A23:B23"/>
    <mergeCell ref="A24:B24"/>
    <mergeCell ref="A25:B25"/>
    <mergeCell ref="A21:B22"/>
    <mergeCell ref="C21:E21"/>
    <mergeCell ref="F21:H21"/>
    <mergeCell ref="I21:K21"/>
    <mergeCell ref="B15:L15"/>
    <mergeCell ref="B16:L16"/>
    <mergeCell ref="A1:L1"/>
    <mergeCell ref="B4:L4"/>
    <mergeCell ref="B12:L12"/>
    <mergeCell ref="B13:L13"/>
    <mergeCell ref="B14:L14"/>
  </mergeCells>
  <pageMargins left="0.7" right="0.7" top="0.75" bottom="0.75" header="0.3" footer="0.3"/>
  <pageSetup paperSize="9" scale="77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Normal="100" workbookViewId="0">
      <selection activeCell="H32" sqref="H32"/>
    </sheetView>
  </sheetViews>
  <sheetFormatPr defaultRowHeight="12.75"/>
  <cols>
    <col min="1" max="1" width="5.140625" customWidth="1"/>
    <col min="2" max="2" width="5.85546875" customWidth="1"/>
    <col min="9" max="9" width="12.5703125" customWidth="1"/>
    <col min="10" max="10" width="15.85546875" customWidth="1"/>
  </cols>
  <sheetData>
    <row r="1" spans="1:15" ht="26.25">
      <c r="A1" s="728" t="str">
        <f>'1-16.2'!A1:H1</f>
        <v>รายงานผลการประเมินคุณภาพการศึกษาภายใน ปีการศึกษา 2556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51"/>
      <c r="N1" s="16"/>
      <c r="O1" s="16"/>
    </row>
    <row r="2" spans="1:15" ht="26.25">
      <c r="A2" s="728" t="str">
        <f>ปก!B7</f>
        <v>วิทยาลัยนวัตกรรมการจัดการ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51"/>
      <c r="N2" s="16"/>
      <c r="O2" s="16"/>
    </row>
    <row r="3" spans="1:15" ht="26.25">
      <c r="A3" s="728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51"/>
      <c r="N3" s="16"/>
      <c r="O3" s="16"/>
    </row>
    <row r="4" spans="1:15" ht="25.5" customHeight="1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52"/>
      <c r="N4" s="52"/>
      <c r="O4" s="51"/>
    </row>
    <row r="5" spans="1:15" ht="16.5" customHeight="1">
      <c r="A5" s="13"/>
      <c r="B5" s="13"/>
      <c r="C5" s="13"/>
      <c r="D5" s="13"/>
      <c r="E5" s="13"/>
      <c r="F5" s="13"/>
      <c r="G5" s="34"/>
      <c r="M5" s="52"/>
      <c r="N5" s="52"/>
      <c r="O5" s="51"/>
    </row>
    <row r="6" spans="1:15" ht="23.25">
      <c r="A6" s="140" t="s">
        <v>128</v>
      </c>
      <c r="B6" s="140"/>
      <c r="C6" s="140"/>
      <c r="D6" s="140"/>
      <c r="E6" s="140"/>
      <c r="F6" s="140"/>
    </row>
    <row r="7" spans="1:15" ht="23.25">
      <c r="A7" s="82"/>
      <c r="B7" s="974" t="s">
        <v>554</v>
      </c>
      <c r="C7" s="974"/>
      <c r="D7" s="974"/>
      <c r="E7" s="974"/>
      <c r="F7" s="974"/>
    </row>
    <row r="8" spans="1:15" ht="23.25">
      <c r="A8" s="975" t="s">
        <v>555</v>
      </c>
      <c r="B8" s="975"/>
      <c r="C8" s="975"/>
      <c r="D8" s="975"/>
      <c r="E8" s="975"/>
      <c r="F8" s="975"/>
      <c r="G8" s="975"/>
      <c r="H8" s="976" t="s">
        <v>556</v>
      </c>
      <c r="I8" s="976"/>
      <c r="J8" s="976"/>
      <c r="K8" s="976"/>
      <c r="L8" s="976"/>
    </row>
    <row r="9" spans="1:15" ht="23.25">
      <c r="A9" s="971">
        <v>1</v>
      </c>
      <c r="B9" s="971"/>
      <c r="C9" s="971"/>
      <c r="D9" s="971"/>
      <c r="E9" s="971"/>
      <c r="F9" s="971"/>
      <c r="G9" s="971"/>
      <c r="H9" s="972">
        <v>1</v>
      </c>
      <c r="I9" s="972"/>
      <c r="J9" s="972"/>
      <c r="K9" s="972"/>
      <c r="L9" s="972"/>
    </row>
    <row r="10" spans="1:15" ht="23.25">
      <c r="A10" s="971">
        <v>2</v>
      </c>
      <c r="B10" s="971"/>
      <c r="C10" s="971"/>
      <c r="D10" s="971"/>
      <c r="E10" s="971"/>
      <c r="F10" s="971"/>
      <c r="G10" s="971"/>
      <c r="H10" s="972">
        <v>2</v>
      </c>
      <c r="I10" s="972"/>
      <c r="J10" s="972"/>
      <c r="K10" s="972"/>
      <c r="L10" s="972"/>
    </row>
    <row r="11" spans="1:15" ht="23.25">
      <c r="A11" s="971">
        <v>3</v>
      </c>
      <c r="B11" s="971"/>
      <c r="C11" s="971"/>
      <c r="D11" s="971"/>
      <c r="E11" s="971"/>
      <c r="F11" s="971"/>
      <c r="G11" s="971"/>
      <c r="H11" s="973">
        <v>3</v>
      </c>
      <c r="I11" s="973"/>
      <c r="J11" s="973"/>
      <c r="K11" s="973"/>
      <c r="L11" s="973"/>
    </row>
    <row r="12" spans="1:15" ht="18.75" customHeight="1">
      <c r="A12" s="428"/>
      <c r="B12" s="428"/>
      <c r="C12" s="428"/>
      <c r="D12" s="428"/>
      <c r="E12" s="428"/>
      <c r="F12" s="428"/>
      <c r="G12" s="428"/>
      <c r="H12" s="429"/>
      <c r="I12" s="429"/>
      <c r="J12" s="429"/>
      <c r="K12" s="429"/>
      <c r="L12" s="429"/>
    </row>
    <row r="13" spans="1:15" ht="23.25" customHeight="1"/>
    <row r="14" spans="1:15" ht="23.25">
      <c r="A14" s="82"/>
      <c r="B14" s="974" t="s">
        <v>557</v>
      </c>
      <c r="C14" s="974"/>
      <c r="D14" s="974"/>
      <c r="E14" s="974"/>
      <c r="F14" s="974"/>
    </row>
    <row r="15" spans="1:15" ht="23.25">
      <c r="A15" s="975" t="s">
        <v>129</v>
      </c>
      <c r="B15" s="975"/>
      <c r="C15" s="975"/>
      <c r="D15" s="975"/>
      <c r="E15" s="975"/>
      <c r="F15" s="975"/>
      <c r="G15" s="975"/>
      <c r="H15" s="976" t="s">
        <v>558</v>
      </c>
      <c r="I15" s="976"/>
      <c r="J15" s="976"/>
      <c r="K15" s="976"/>
      <c r="L15" s="976"/>
    </row>
    <row r="16" spans="1:15" ht="22.5" customHeight="1">
      <c r="A16" s="972">
        <v>1</v>
      </c>
      <c r="B16" s="972"/>
      <c r="C16" s="972"/>
      <c r="D16" s="972"/>
      <c r="E16" s="972"/>
      <c r="F16" s="972"/>
      <c r="G16" s="972"/>
      <c r="H16" s="972">
        <v>1</v>
      </c>
      <c r="I16" s="972"/>
      <c r="J16" s="972"/>
      <c r="K16" s="972"/>
      <c r="L16" s="972"/>
    </row>
    <row r="17" spans="1:12" ht="21" customHeight="1">
      <c r="A17" s="972">
        <v>2</v>
      </c>
      <c r="B17" s="972"/>
      <c r="C17" s="972"/>
      <c r="D17" s="972"/>
      <c r="E17" s="972"/>
      <c r="F17" s="972"/>
      <c r="G17" s="972"/>
      <c r="H17" s="972">
        <v>2</v>
      </c>
      <c r="I17" s="972"/>
      <c r="J17" s="972"/>
      <c r="K17" s="972"/>
      <c r="L17" s="972"/>
    </row>
    <row r="18" spans="1:12" ht="21.75" customHeight="1">
      <c r="A18" s="972">
        <v>3</v>
      </c>
      <c r="B18" s="972"/>
      <c r="C18" s="972"/>
      <c r="D18" s="972"/>
      <c r="E18" s="972"/>
      <c r="F18" s="972"/>
      <c r="G18" s="972"/>
      <c r="H18" s="973">
        <v>3</v>
      </c>
      <c r="I18" s="973"/>
      <c r="J18" s="973"/>
      <c r="K18" s="973"/>
      <c r="L18" s="973"/>
    </row>
    <row r="19" spans="1:12" ht="18.75" customHeight="1">
      <c r="A19" s="972">
        <v>4</v>
      </c>
      <c r="B19" s="972"/>
      <c r="C19" s="972"/>
      <c r="D19" s="972"/>
      <c r="E19" s="972"/>
      <c r="F19" s="972"/>
      <c r="G19" s="972"/>
      <c r="H19" s="973">
        <v>4</v>
      </c>
      <c r="I19" s="973"/>
      <c r="J19" s="973"/>
      <c r="K19" s="973"/>
      <c r="L19" s="973"/>
    </row>
    <row r="20" spans="1:12" ht="24" customHeight="1"/>
    <row r="21" spans="1:12" ht="30" customHeight="1"/>
    <row r="22" spans="1:12" ht="23.25">
      <c r="A22" s="82"/>
      <c r="B22" s="974" t="s">
        <v>559</v>
      </c>
      <c r="C22" s="974"/>
      <c r="D22" s="974"/>
      <c r="E22" s="974"/>
      <c r="F22" s="974"/>
    </row>
    <row r="23" spans="1:12" ht="23.25">
      <c r="A23" s="975" t="s">
        <v>561</v>
      </c>
      <c r="B23" s="975"/>
      <c r="C23" s="975"/>
      <c r="D23" s="975"/>
      <c r="E23" s="975"/>
      <c r="F23" s="975"/>
      <c r="G23" s="975"/>
      <c r="H23" s="976" t="s">
        <v>560</v>
      </c>
      <c r="I23" s="976"/>
      <c r="J23" s="976"/>
      <c r="K23" s="976"/>
      <c r="L23" s="976"/>
    </row>
    <row r="24" spans="1:12" ht="23.25">
      <c r="A24" s="971">
        <v>1</v>
      </c>
      <c r="B24" s="971"/>
      <c r="C24" s="971"/>
      <c r="D24" s="971"/>
      <c r="E24" s="971"/>
      <c r="F24" s="971"/>
      <c r="G24" s="971"/>
      <c r="H24" s="972">
        <v>1</v>
      </c>
      <c r="I24" s="972"/>
      <c r="J24" s="972"/>
      <c r="K24" s="972"/>
      <c r="L24" s="972"/>
    </row>
    <row r="25" spans="1:12" ht="23.25">
      <c r="A25" s="971">
        <v>2</v>
      </c>
      <c r="B25" s="971"/>
      <c r="C25" s="971"/>
      <c r="D25" s="971"/>
      <c r="E25" s="971"/>
      <c r="F25" s="971"/>
      <c r="G25" s="971"/>
      <c r="H25" s="972">
        <v>2</v>
      </c>
      <c r="I25" s="972"/>
      <c r="J25" s="972"/>
      <c r="K25" s="972"/>
      <c r="L25" s="972"/>
    </row>
    <row r="26" spans="1:12" ht="23.25">
      <c r="A26" s="971">
        <v>3</v>
      </c>
      <c r="B26" s="971"/>
      <c r="C26" s="971"/>
      <c r="D26" s="971"/>
      <c r="E26" s="971"/>
      <c r="F26" s="971"/>
      <c r="G26" s="971"/>
      <c r="H26" s="973">
        <v>3</v>
      </c>
      <c r="I26" s="973"/>
      <c r="J26" s="973"/>
      <c r="K26" s="973"/>
      <c r="L26" s="973"/>
    </row>
  </sheetData>
  <mergeCells count="33">
    <mergeCell ref="A26:G26"/>
    <mergeCell ref="H26:L26"/>
    <mergeCell ref="A1:L1"/>
    <mergeCell ref="A2:L2"/>
    <mergeCell ref="A3:L3"/>
    <mergeCell ref="A4:L4"/>
    <mergeCell ref="B22:F22"/>
    <mergeCell ref="A23:G23"/>
    <mergeCell ref="H23:L23"/>
    <mergeCell ref="A24:G24"/>
    <mergeCell ref="H24:L24"/>
    <mergeCell ref="H8:L8"/>
    <mergeCell ref="B14:F14"/>
    <mergeCell ref="A15:G15"/>
    <mergeCell ref="A19:G19"/>
    <mergeCell ref="H19:L19"/>
    <mergeCell ref="H9:L9"/>
    <mergeCell ref="H10:L10"/>
    <mergeCell ref="H11:L11"/>
    <mergeCell ref="A25:G25"/>
    <mergeCell ref="H25:L25"/>
    <mergeCell ref="A17:G17"/>
    <mergeCell ref="H17:L17"/>
    <mergeCell ref="A18:G18"/>
    <mergeCell ref="H18:L18"/>
    <mergeCell ref="H15:L15"/>
    <mergeCell ref="A16:G16"/>
    <mergeCell ref="H16:L16"/>
    <mergeCell ref="B7:F7"/>
    <mergeCell ref="A8:G8"/>
    <mergeCell ref="A9:G9"/>
    <mergeCell ref="A10:G10"/>
    <mergeCell ref="A11:G11"/>
  </mergeCells>
  <pageMargins left="0.34" right="0.38" top="0.75" bottom="0.75" header="0.3" footer="0.3"/>
  <pageSetup paperSize="9" scale="86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topLeftCell="B35" zoomScaleNormal="100" zoomScaleSheetLayoutView="100" workbookViewId="0">
      <selection activeCell="U69" sqref="U69"/>
    </sheetView>
  </sheetViews>
  <sheetFormatPr defaultRowHeight="21"/>
  <cols>
    <col min="1" max="1" width="64.5703125" style="276" customWidth="1"/>
    <col min="2" max="2" width="8.42578125" style="361" customWidth="1"/>
    <col min="3" max="3" width="9.7109375" style="362" bestFit="1" customWidth="1"/>
    <col min="4" max="4" width="3" style="362" customWidth="1"/>
    <col min="5" max="5" width="3.28515625" style="362" customWidth="1"/>
    <col min="6" max="7" width="2.85546875" style="362" customWidth="1"/>
    <col min="8" max="8" width="3" style="362" customWidth="1"/>
    <col min="9" max="9" width="2.5703125" style="362" customWidth="1"/>
    <col min="10" max="10" width="3" style="362" customWidth="1"/>
    <col min="11" max="11" width="2.7109375" style="362" customWidth="1"/>
    <col min="12" max="12" width="2.42578125" style="362" customWidth="1"/>
    <col min="13" max="13" width="13.85546875" style="276" bestFit="1" customWidth="1"/>
    <col min="14" max="14" width="9.140625" style="276"/>
    <col min="15" max="15" width="13.42578125" style="276" customWidth="1"/>
    <col min="16" max="16" width="19.42578125" style="277" customWidth="1"/>
    <col min="17" max="17" width="13.5703125" style="276" customWidth="1"/>
    <col min="18" max="18" width="24.5703125" style="277" customWidth="1"/>
    <col min="19" max="19" width="15.7109375" style="277" hidden="1" customWidth="1"/>
    <col min="20" max="256" width="9.140625" style="277"/>
    <col min="257" max="257" width="64.5703125" style="277" customWidth="1"/>
    <col min="258" max="258" width="8.42578125" style="277" customWidth="1"/>
    <col min="259" max="259" width="9.7109375" style="277" bestFit="1" customWidth="1"/>
    <col min="260" max="260" width="3" style="277" customWidth="1"/>
    <col min="261" max="261" width="3.28515625" style="277" customWidth="1"/>
    <col min="262" max="263" width="2.85546875" style="277" customWidth="1"/>
    <col min="264" max="264" width="3" style="277" customWidth="1"/>
    <col min="265" max="265" width="2.5703125" style="277" customWidth="1"/>
    <col min="266" max="266" width="3" style="277" customWidth="1"/>
    <col min="267" max="267" width="2.7109375" style="277" customWidth="1"/>
    <col min="268" max="268" width="2.42578125" style="277" customWidth="1"/>
    <col min="269" max="269" width="13.85546875" style="277" bestFit="1" customWidth="1"/>
    <col min="270" max="270" width="9.140625" style="277"/>
    <col min="271" max="271" width="13.42578125" style="277" customWidth="1"/>
    <col min="272" max="272" width="19.42578125" style="277" customWidth="1"/>
    <col min="273" max="273" width="13.5703125" style="277" customWidth="1"/>
    <col min="274" max="274" width="24.5703125" style="277" customWidth="1"/>
    <col min="275" max="275" width="11.28515625" style="277" bestFit="1" customWidth="1"/>
    <col min="276" max="512" width="9.140625" style="277"/>
    <col min="513" max="513" width="64.5703125" style="277" customWidth="1"/>
    <col min="514" max="514" width="8.42578125" style="277" customWidth="1"/>
    <col min="515" max="515" width="9.7109375" style="277" bestFit="1" customWidth="1"/>
    <col min="516" max="516" width="3" style="277" customWidth="1"/>
    <col min="517" max="517" width="3.28515625" style="277" customWidth="1"/>
    <col min="518" max="519" width="2.85546875" style="277" customWidth="1"/>
    <col min="520" max="520" width="3" style="277" customWidth="1"/>
    <col min="521" max="521" width="2.5703125" style="277" customWidth="1"/>
    <col min="522" max="522" width="3" style="277" customWidth="1"/>
    <col min="523" max="523" width="2.7109375" style="277" customWidth="1"/>
    <col min="524" max="524" width="2.42578125" style="277" customWidth="1"/>
    <col min="525" max="525" width="13.85546875" style="277" bestFit="1" customWidth="1"/>
    <col min="526" max="526" width="9.140625" style="277"/>
    <col min="527" max="527" width="13.42578125" style="277" customWidth="1"/>
    <col min="528" max="528" width="19.42578125" style="277" customWidth="1"/>
    <col min="529" max="529" width="13.5703125" style="277" customWidth="1"/>
    <col min="530" max="530" width="24.5703125" style="277" customWidth="1"/>
    <col min="531" max="531" width="11.28515625" style="277" bestFit="1" customWidth="1"/>
    <col min="532" max="768" width="9.140625" style="277"/>
    <col min="769" max="769" width="64.5703125" style="277" customWidth="1"/>
    <col min="770" max="770" width="8.42578125" style="277" customWidth="1"/>
    <col min="771" max="771" width="9.7109375" style="277" bestFit="1" customWidth="1"/>
    <col min="772" max="772" width="3" style="277" customWidth="1"/>
    <col min="773" max="773" width="3.28515625" style="277" customWidth="1"/>
    <col min="774" max="775" width="2.85546875" style="277" customWidth="1"/>
    <col min="776" max="776" width="3" style="277" customWidth="1"/>
    <col min="777" max="777" width="2.5703125" style="277" customWidth="1"/>
    <col min="778" max="778" width="3" style="277" customWidth="1"/>
    <col min="779" max="779" width="2.7109375" style="277" customWidth="1"/>
    <col min="780" max="780" width="2.42578125" style="277" customWidth="1"/>
    <col min="781" max="781" width="13.85546875" style="277" bestFit="1" customWidth="1"/>
    <col min="782" max="782" width="9.140625" style="277"/>
    <col min="783" max="783" width="13.42578125" style="277" customWidth="1"/>
    <col min="784" max="784" width="19.42578125" style="277" customWidth="1"/>
    <col min="785" max="785" width="13.5703125" style="277" customWidth="1"/>
    <col min="786" max="786" width="24.5703125" style="277" customWidth="1"/>
    <col min="787" max="787" width="11.28515625" style="277" bestFit="1" customWidth="1"/>
    <col min="788" max="1024" width="9.140625" style="277"/>
    <col min="1025" max="1025" width="64.5703125" style="277" customWidth="1"/>
    <col min="1026" max="1026" width="8.42578125" style="277" customWidth="1"/>
    <col min="1027" max="1027" width="9.7109375" style="277" bestFit="1" customWidth="1"/>
    <col min="1028" max="1028" width="3" style="277" customWidth="1"/>
    <col min="1029" max="1029" width="3.28515625" style="277" customWidth="1"/>
    <col min="1030" max="1031" width="2.85546875" style="277" customWidth="1"/>
    <col min="1032" max="1032" width="3" style="277" customWidth="1"/>
    <col min="1033" max="1033" width="2.5703125" style="277" customWidth="1"/>
    <col min="1034" max="1034" width="3" style="277" customWidth="1"/>
    <col min="1035" max="1035" width="2.7109375" style="277" customWidth="1"/>
    <col min="1036" max="1036" width="2.42578125" style="277" customWidth="1"/>
    <col min="1037" max="1037" width="13.85546875" style="277" bestFit="1" customWidth="1"/>
    <col min="1038" max="1038" width="9.140625" style="277"/>
    <col min="1039" max="1039" width="13.42578125" style="277" customWidth="1"/>
    <col min="1040" max="1040" width="19.42578125" style="277" customWidth="1"/>
    <col min="1041" max="1041" width="13.5703125" style="277" customWidth="1"/>
    <col min="1042" max="1042" width="24.5703125" style="277" customWidth="1"/>
    <col min="1043" max="1043" width="11.28515625" style="277" bestFit="1" customWidth="1"/>
    <col min="1044" max="1280" width="9.140625" style="277"/>
    <col min="1281" max="1281" width="64.5703125" style="277" customWidth="1"/>
    <col min="1282" max="1282" width="8.42578125" style="277" customWidth="1"/>
    <col min="1283" max="1283" width="9.7109375" style="277" bestFit="1" customWidth="1"/>
    <col min="1284" max="1284" width="3" style="277" customWidth="1"/>
    <col min="1285" max="1285" width="3.28515625" style="277" customWidth="1"/>
    <col min="1286" max="1287" width="2.85546875" style="277" customWidth="1"/>
    <col min="1288" max="1288" width="3" style="277" customWidth="1"/>
    <col min="1289" max="1289" width="2.5703125" style="277" customWidth="1"/>
    <col min="1290" max="1290" width="3" style="277" customWidth="1"/>
    <col min="1291" max="1291" width="2.7109375" style="277" customWidth="1"/>
    <col min="1292" max="1292" width="2.42578125" style="277" customWidth="1"/>
    <col min="1293" max="1293" width="13.85546875" style="277" bestFit="1" customWidth="1"/>
    <col min="1294" max="1294" width="9.140625" style="277"/>
    <col min="1295" max="1295" width="13.42578125" style="277" customWidth="1"/>
    <col min="1296" max="1296" width="19.42578125" style="277" customWidth="1"/>
    <col min="1297" max="1297" width="13.5703125" style="277" customWidth="1"/>
    <col min="1298" max="1298" width="24.5703125" style="277" customWidth="1"/>
    <col min="1299" max="1299" width="11.28515625" style="277" bestFit="1" customWidth="1"/>
    <col min="1300" max="1536" width="9.140625" style="277"/>
    <col min="1537" max="1537" width="64.5703125" style="277" customWidth="1"/>
    <col min="1538" max="1538" width="8.42578125" style="277" customWidth="1"/>
    <col min="1539" max="1539" width="9.7109375" style="277" bestFit="1" customWidth="1"/>
    <col min="1540" max="1540" width="3" style="277" customWidth="1"/>
    <col min="1541" max="1541" width="3.28515625" style="277" customWidth="1"/>
    <col min="1542" max="1543" width="2.85546875" style="277" customWidth="1"/>
    <col min="1544" max="1544" width="3" style="277" customWidth="1"/>
    <col min="1545" max="1545" width="2.5703125" style="277" customWidth="1"/>
    <col min="1546" max="1546" width="3" style="277" customWidth="1"/>
    <col min="1547" max="1547" width="2.7109375" style="277" customWidth="1"/>
    <col min="1548" max="1548" width="2.42578125" style="277" customWidth="1"/>
    <col min="1549" max="1549" width="13.85546875" style="277" bestFit="1" customWidth="1"/>
    <col min="1550" max="1550" width="9.140625" style="277"/>
    <col min="1551" max="1551" width="13.42578125" style="277" customWidth="1"/>
    <col min="1552" max="1552" width="19.42578125" style="277" customWidth="1"/>
    <col min="1553" max="1553" width="13.5703125" style="277" customWidth="1"/>
    <col min="1554" max="1554" width="24.5703125" style="277" customWidth="1"/>
    <col min="1555" max="1555" width="11.28515625" style="277" bestFit="1" customWidth="1"/>
    <col min="1556" max="1792" width="9.140625" style="277"/>
    <col min="1793" max="1793" width="64.5703125" style="277" customWidth="1"/>
    <col min="1794" max="1794" width="8.42578125" style="277" customWidth="1"/>
    <col min="1795" max="1795" width="9.7109375" style="277" bestFit="1" customWidth="1"/>
    <col min="1796" max="1796" width="3" style="277" customWidth="1"/>
    <col min="1797" max="1797" width="3.28515625" style="277" customWidth="1"/>
    <col min="1798" max="1799" width="2.85546875" style="277" customWidth="1"/>
    <col min="1800" max="1800" width="3" style="277" customWidth="1"/>
    <col min="1801" max="1801" width="2.5703125" style="277" customWidth="1"/>
    <col min="1802" max="1802" width="3" style="277" customWidth="1"/>
    <col min="1803" max="1803" width="2.7109375" style="277" customWidth="1"/>
    <col min="1804" max="1804" width="2.42578125" style="277" customWidth="1"/>
    <col min="1805" max="1805" width="13.85546875" style="277" bestFit="1" customWidth="1"/>
    <col min="1806" max="1806" width="9.140625" style="277"/>
    <col min="1807" max="1807" width="13.42578125" style="277" customWidth="1"/>
    <col min="1808" max="1808" width="19.42578125" style="277" customWidth="1"/>
    <col min="1809" max="1809" width="13.5703125" style="277" customWidth="1"/>
    <col min="1810" max="1810" width="24.5703125" style="277" customWidth="1"/>
    <col min="1811" max="1811" width="11.28515625" style="277" bestFit="1" customWidth="1"/>
    <col min="1812" max="2048" width="9.140625" style="277"/>
    <col min="2049" max="2049" width="64.5703125" style="277" customWidth="1"/>
    <col min="2050" max="2050" width="8.42578125" style="277" customWidth="1"/>
    <col min="2051" max="2051" width="9.7109375" style="277" bestFit="1" customWidth="1"/>
    <col min="2052" max="2052" width="3" style="277" customWidth="1"/>
    <col min="2053" max="2053" width="3.28515625" style="277" customWidth="1"/>
    <col min="2054" max="2055" width="2.85546875" style="277" customWidth="1"/>
    <col min="2056" max="2056" width="3" style="277" customWidth="1"/>
    <col min="2057" max="2057" width="2.5703125" style="277" customWidth="1"/>
    <col min="2058" max="2058" width="3" style="277" customWidth="1"/>
    <col min="2059" max="2059" width="2.7109375" style="277" customWidth="1"/>
    <col min="2060" max="2060" width="2.42578125" style="277" customWidth="1"/>
    <col min="2061" max="2061" width="13.85546875" style="277" bestFit="1" customWidth="1"/>
    <col min="2062" max="2062" width="9.140625" style="277"/>
    <col min="2063" max="2063" width="13.42578125" style="277" customWidth="1"/>
    <col min="2064" max="2064" width="19.42578125" style="277" customWidth="1"/>
    <col min="2065" max="2065" width="13.5703125" style="277" customWidth="1"/>
    <col min="2066" max="2066" width="24.5703125" style="277" customWidth="1"/>
    <col min="2067" max="2067" width="11.28515625" style="277" bestFit="1" customWidth="1"/>
    <col min="2068" max="2304" width="9.140625" style="277"/>
    <col min="2305" max="2305" width="64.5703125" style="277" customWidth="1"/>
    <col min="2306" max="2306" width="8.42578125" style="277" customWidth="1"/>
    <col min="2307" max="2307" width="9.7109375" style="277" bestFit="1" customWidth="1"/>
    <col min="2308" max="2308" width="3" style="277" customWidth="1"/>
    <col min="2309" max="2309" width="3.28515625" style="277" customWidth="1"/>
    <col min="2310" max="2311" width="2.85546875" style="277" customWidth="1"/>
    <col min="2312" max="2312" width="3" style="277" customWidth="1"/>
    <col min="2313" max="2313" width="2.5703125" style="277" customWidth="1"/>
    <col min="2314" max="2314" width="3" style="277" customWidth="1"/>
    <col min="2315" max="2315" width="2.7109375" style="277" customWidth="1"/>
    <col min="2316" max="2316" width="2.42578125" style="277" customWidth="1"/>
    <col min="2317" max="2317" width="13.85546875" style="277" bestFit="1" customWidth="1"/>
    <col min="2318" max="2318" width="9.140625" style="277"/>
    <col min="2319" max="2319" width="13.42578125" style="277" customWidth="1"/>
    <col min="2320" max="2320" width="19.42578125" style="277" customWidth="1"/>
    <col min="2321" max="2321" width="13.5703125" style="277" customWidth="1"/>
    <col min="2322" max="2322" width="24.5703125" style="277" customWidth="1"/>
    <col min="2323" max="2323" width="11.28515625" style="277" bestFit="1" customWidth="1"/>
    <col min="2324" max="2560" width="9.140625" style="277"/>
    <col min="2561" max="2561" width="64.5703125" style="277" customWidth="1"/>
    <col min="2562" max="2562" width="8.42578125" style="277" customWidth="1"/>
    <col min="2563" max="2563" width="9.7109375" style="277" bestFit="1" customWidth="1"/>
    <col min="2564" max="2564" width="3" style="277" customWidth="1"/>
    <col min="2565" max="2565" width="3.28515625" style="277" customWidth="1"/>
    <col min="2566" max="2567" width="2.85546875" style="277" customWidth="1"/>
    <col min="2568" max="2568" width="3" style="277" customWidth="1"/>
    <col min="2569" max="2569" width="2.5703125" style="277" customWidth="1"/>
    <col min="2570" max="2570" width="3" style="277" customWidth="1"/>
    <col min="2571" max="2571" width="2.7109375" style="277" customWidth="1"/>
    <col min="2572" max="2572" width="2.42578125" style="277" customWidth="1"/>
    <col min="2573" max="2573" width="13.85546875" style="277" bestFit="1" customWidth="1"/>
    <col min="2574" max="2574" width="9.140625" style="277"/>
    <col min="2575" max="2575" width="13.42578125" style="277" customWidth="1"/>
    <col min="2576" max="2576" width="19.42578125" style="277" customWidth="1"/>
    <col min="2577" max="2577" width="13.5703125" style="277" customWidth="1"/>
    <col min="2578" max="2578" width="24.5703125" style="277" customWidth="1"/>
    <col min="2579" max="2579" width="11.28515625" style="277" bestFit="1" customWidth="1"/>
    <col min="2580" max="2816" width="9.140625" style="277"/>
    <col min="2817" max="2817" width="64.5703125" style="277" customWidth="1"/>
    <col min="2818" max="2818" width="8.42578125" style="277" customWidth="1"/>
    <col min="2819" max="2819" width="9.7109375" style="277" bestFit="1" customWidth="1"/>
    <col min="2820" max="2820" width="3" style="277" customWidth="1"/>
    <col min="2821" max="2821" width="3.28515625" style="277" customWidth="1"/>
    <col min="2822" max="2823" width="2.85546875" style="277" customWidth="1"/>
    <col min="2824" max="2824" width="3" style="277" customWidth="1"/>
    <col min="2825" max="2825" width="2.5703125" style="277" customWidth="1"/>
    <col min="2826" max="2826" width="3" style="277" customWidth="1"/>
    <col min="2827" max="2827" width="2.7109375" style="277" customWidth="1"/>
    <col min="2828" max="2828" width="2.42578125" style="277" customWidth="1"/>
    <col min="2829" max="2829" width="13.85546875" style="277" bestFit="1" customWidth="1"/>
    <col min="2830" max="2830" width="9.140625" style="277"/>
    <col min="2831" max="2831" width="13.42578125" style="277" customWidth="1"/>
    <col min="2832" max="2832" width="19.42578125" style="277" customWidth="1"/>
    <col min="2833" max="2833" width="13.5703125" style="277" customWidth="1"/>
    <col min="2834" max="2834" width="24.5703125" style="277" customWidth="1"/>
    <col min="2835" max="2835" width="11.28515625" style="277" bestFit="1" customWidth="1"/>
    <col min="2836" max="3072" width="9.140625" style="277"/>
    <col min="3073" max="3073" width="64.5703125" style="277" customWidth="1"/>
    <col min="3074" max="3074" width="8.42578125" style="277" customWidth="1"/>
    <col min="3075" max="3075" width="9.7109375" style="277" bestFit="1" customWidth="1"/>
    <col min="3076" max="3076" width="3" style="277" customWidth="1"/>
    <col min="3077" max="3077" width="3.28515625" style="277" customWidth="1"/>
    <col min="3078" max="3079" width="2.85546875" style="277" customWidth="1"/>
    <col min="3080" max="3080" width="3" style="277" customWidth="1"/>
    <col min="3081" max="3081" width="2.5703125" style="277" customWidth="1"/>
    <col min="3082" max="3082" width="3" style="277" customWidth="1"/>
    <col min="3083" max="3083" width="2.7109375" style="277" customWidth="1"/>
    <col min="3084" max="3084" width="2.42578125" style="277" customWidth="1"/>
    <col min="3085" max="3085" width="13.85546875" style="277" bestFit="1" customWidth="1"/>
    <col min="3086" max="3086" width="9.140625" style="277"/>
    <col min="3087" max="3087" width="13.42578125" style="277" customWidth="1"/>
    <col min="3088" max="3088" width="19.42578125" style="277" customWidth="1"/>
    <col min="3089" max="3089" width="13.5703125" style="277" customWidth="1"/>
    <col min="3090" max="3090" width="24.5703125" style="277" customWidth="1"/>
    <col min="3091" max="3091" width="11.28515625" style="277" bestFit="1" customWidth="1"/>
    <col min="3092" max="3328" width="9.140625" style="277"/>
    <col min="3329" max="3329" width="64.5703125" style="277" customWidth="1"/>
    <col min="3330" max="3330" width="8.42578125" style="277" customWidth="1"/>
    <col min="3331" max="3331" width="9.7109375" style="277" bestFit="1" customWidth="1"/>
    <col min="3332" max="3332" width="3" style="277" customWidth="1"/>
    <col min="3333" max="3333" width="3.28515625" style="277" customWidth="1"/>
    <col min="3334" max="3335" width="2.85546875" style="277" customWidth="1"/>
    <col min="3336" max="3336" width="3" style="277" customWidth="1"/>
    <col min="3337" max="3337" width="2.5703125" style="277" customWidth="1"/>
    <col min="3338" max="3338" width="3" style="277" customWidth="1"/>
    <col min="3339" max="3339" width="2.7109375" style="277" customWidth="1"/>
    <col min="3340" max="3340" width="2.42578125" style="277" customWidth="1"/>
    <col min="3341" max="3341" width="13.85546875" style="277" bestFit="1" customWidth="1"/>
    <col min="3342" max="3342" width="9.140625" style="277"/>
    <col min="3343" max="3343" width="13.42578125" style="277" customWidth="1"/>
    <col min="3344" max="3344" width="19.42578125" style="277" customWidth="1"/>
    <col min="3345" max="3345" width="13.5703125" style="277" customWidth="1"/>
    <col min="3346" max="3346" width="24.5703125" style="277" customWidth="1"/>
    <col min="3347" max="3347" width="11.28515625" style="277" bestFit="1" customWidth="1"/>
    <col min="3348" max="3584" width="9.140625" style="277"/>
    <col min="3585" max="3585" width="64.5703125" style="277" customWidth="1"/>
    <col min="3586" max="3586" width="8.42578125" style="277" customWidth="1"/>
    <col min="3587" max="3587" width="9.7109375" style="277" bestFit="1" customWidth="1"/>
    <col min="3588" max="3588" width="3" style="277" customWidth="1"/>
    <col min="3589" max="3589" width="3.28515625" style="277" customWidth="1"/>
    <col min="3590" max="3591" width="2.85546875" style="277" customWidth="1"/>
    <col min="3592" max="3592" width="3" style="277" customWidth="1"/>
    <col min="3593" max="3593" width="2.5703125" style="277" customWidth="1"/>
    <col min="3594" max="3594" width="3" style="277" customWidth="1"/>
    <col min="3595" max="3595" width="2.7109375" style="277" customWidth="1"/>
    <col min="3596" max="3596" width="2.42578125" style="277" customWidth="1"/>
    <col min="3597" max="3597" width="13.85546875" style="277" bestFit="1" customWidth="1"/>
    <col min="3598" max="3598" width="9.140625" style="277"/>
    <col min="3599" max="3599" width="13.42578125" style="277" customWidth="1"/>
    <col min="3600" max="3600" width="19.42578125" style="277" customWidth="1"/>
    <col min="3601" max="3601" width="13.5703125" style="277" customWidth="1"/>
    <col min="3602" max="3602" width="24.5703125" style="277" customWidth="1"/>
    <col min="3603" max="3603" width="11.28515625" style="277" bestFit="1" customWidth="1"/>
    <col min="3604" max="3840" width="9.140625" style="277"/>
    <col min="3841" max="3841" width="64.5703125" style="277" customWidth="1"/>
    <col min="3842" max="3842" width="8.42578125" style="277" customWidth="1"/>
    <col min="3843" max="3843" width="9.7109375" style="277" bestFit="1" customWidth="1"/>
    <col min="3844" max="3844" width="3" style="277" customWidth="1"/>
    <col min="3845" max="3845" width="3.28515625" style="277" customWidth="1"/>
    <col min="3846" max="3847" width="2.85546875" style="277" customWidth="1"/>
    <col min="3848" max="3848" width="3" style="277" customWidth="1"/>
    <col min="3849" max="3849" width="2.5703125" style="277" customWidth="1"/>
    <col min="3850" max="3850" width="3" style="277" customWidth="1"/>
    <col min="3851" max="3851" width="2.7109375" style="277" customWidth="1"/>
    <col min="3852" max="3852" width="2.42578125" style="277" customWidth="1"/>
    <col min="3853" max="3853" width="13.85546875" style="277" bestFit="1" customWidth="1"/>
    <col min="3854" max="3854" width="9.140625" style="277"/>
    <col min="3855" max="3855" width="13.42578125" style="277" customWidth="1"/>
    <col min="3856" max="3856" width="19.42578125" style="277" customWidth="1"/>
    <col min="3857" max="3857" width="13.5703125" style="277" customWidth="1"/>
    <col min="3858" max="3858" width="24.5703125" style="277" customWidth="1"/>
    <col min="3859" max="3859" width="11.28515625" style="277" bestFit="1" customWidth="1"/>
    <col min="3860" max="4096" width="9.140625" style="277"/>
    <col min="4097" max="4097" width="64.5703125" style="277" customWidth="1"/>
    <col min="4098" max="4098" width="8.42578125" style="277" customWidth="1"/>
    <col min="4099" max="4099" width="9.7109375" style="277" bestFit="1" customWidth="1"/>
    <col min="4100" max="4100" width="3" style="277" customWidth="1"/>
    <col min="4101" max="4101" width="3.28515625" style="277" customWidth="1"/>
    <col min="4102" max="4103" width="2.85546875" style="277" customWidth="1"/>
    <col min="4104" max="4104" width="3" style="277" customWidth="1"/>
    <col min="4105" max="4105" width="2.5703125" style="277" customWidth="1"/>
    <col min="4106" max="4106" width="3" style="277" customWidth="1"/>
    <col min="4107" max="4107" width="2.7109375" style="277" customWidth="1"/>
    <col min="4108" max="4108" width="2.42578125" style="277" customWidth="1"/>
    <col min="4109" max="4109" width="13.85546875" style="277" bestFit="1" customWidth="1"/>
    <col min="4110" max="4110" width="9.140625" style="277"/>
    <col min="4111" max="4111" width="13.42578125" style="277" customWidth="1"/>
    <col min="4112" max="4112" width="19.42578125" style="277" customWidth="1"/>
    <col min="4113" max="4113" width="13.5703125" style="277" customWidth="1"/>
    <col min="4114" max="4114" width="24.5703125" style="277" customWidth="1"/>
    <col min="4115" max="4115" width="11.28515625" style="277" bestFit="1" customWidth="1"/>
    <col min="4116" max="4352" width="9.140625" style="277"/>
    <col min="4353" max="4353" width="64.5703125" style="277" customWidth="1"/>
    <col min="4354" max="4354" width="8.42578125" style="277" customWidth="1"/>
    <col min="4355" max="4355" width="9.7109375" style="277" bestFit="1" customWidth="1"/>
    <col min="4356" max="4356" width="3" style="277" customWidth="1"/>
    <col min="4357" max="4357" width="3.28515625" style="277" customWidth="1"/>
    <col min="4358" max="4359" width="2.85546875" style="277" customWidth="1"/>
    <col min="4360" max="4360" width="3" style="277" customWidth="1"/>
    <col min="4361" max="4361" width="2.5703125" style="277" customWidth="1"/>
    <col min="4362" max="4362" width="3" style="277" customWidth="1"/>
    <col min="4363" max="4363" width="2.7109375" style="277" customWidth="1"/>
    <col min="4364" max="4364" width="2.42578125" style="277" customWidth="1"/>
    <col min="4365" max="4365" width="13.85546875" style="277" bestFit="1" customWidth="1"/>
    <col min="4366" max="4366" width="9.140625" style="277"/>
    <col min="4367" max="4367" width="13.42578125" style="277" customWidth="1"/>
    <col min="4368" max="4368" width="19.42578125" style="277" customWidth="1"/>
    <col min="4369" max="4369" width="13.5703125" style="277" customWidth="1"/>
    <col min="4370" max="4370" width="24.5703125" style="277" customWidth="1"/>
    <col min="4371" max="4371" width="11.28515625" style="277" bestFit="1" customWidth="1"/>
    <col min="4372" max="4608" width="9.140625" style="277"/>
    <col min="4609" max="4609" width="64.5703125" style="277" customWidth="1"/>
    <col min="4610" max="4610" width="8.42578125" style="277" customWidth="1"/>
    <col min="4611" max="4611" width="9.7109375" style="277" bestFit="1" customWidth="1"/>
    <col min="4612" max="4612" width="3" style="277" customWidth="1"/>
    <col min="4613" max="4613" width="3.28515625" style="277" customWidth="1"/>
    <col min="4614" max="4615" width="2.85546875" style="277" customWidth="1"/>
    <col min="4616" max="4616" width="3" style="277" customWidth="1"/>
    <col min="4617" max="4617" width="2.5703125" style="277" customWidth="1"/>
    <col min="4618" max="4618" width="3" style="277" customWidth="1"/>
    <col min="4619" max="4619" width="2.7109375" style="277" customWidth="1"/>
    <col min="4620" max="4620" width="2.42578125" style="277" customWidth="1"/>
    <col min="4621" max="4621" width="13.85546875" style="277" bestFit="1" customWidth="1"/>
    <col min="4622" max="4622" width="9.140625" style="277"/>
    <col min="4623" max="4623" width="13.42578125" style="277" customWidth="1"/>
    <col min="4624" max="4624" width="19.42578125" style="277" customWidth="1"/>
    <col min="4625" max="4625" width="13.5703125" style="277" customWidth="1"/>
    <col min="4626" max="4626" width="24.5703125" style="277" customWidth="1"/>
    <col min="4627" max="4627" width="11.28515625" style="277" bestFit="1" customWidth="1"/>
    <col min="4628" max="4864" width="9.140625" style="277"/>
    <col min="4865" max="4865" width="64.5703125" style="277" customWidth="1"/>
    <col min="4866" max="4866" width="8.42578125" style="277" customWidth="1"/>
    <col min="4867" max="4867" width="9.7109375" style="277" bestFit="1" customWidth="1"/>
    <col min="4868" max="4868" width="3" style="277" customWidth="1"/>
    <col min="4869" max="4869" width="3.28515625" style="277" customWidth="1"/>
    <col min="4870" max="4871" width="2.85546875" style="277" customWidth="1"/>
    <col min="4872" max="4872" width="3" style="277" customWidth="1"/>
    <col min="4873" max="4873" width="2.5703125" style="277" customWidth="1"/>
    <col min="4874" max="4874" width="3" style="277" customWidth="1"/>
    <col min="4875" max="4875" width="2.7109375" style="277" customWidth="1"/>
    <col min="4876" max="4876" width="2.42578125" style="277" customWidth="1"/>
    <col min="4877" max="4877" width="13.85546875" style="277" bestFit="1" customWidth="1"/>
    <col min="4878" max="4878" width="9.140625" style="277"/>
    <col min="4879" max="4879" width="13.42578125" style="277" customWidth="1"/>
    <col min="4880" max="4880" width="19.42578125" style="277" customWidth="1"/>
    <col min="4881" max="4881" width="13.5703125" style="277" customWidth="1"/>
    <col min="4882" max="4882" width="24.5703125" style="277" customWidth="1"/>
    <col min="4883" max="4883" width="11.28515625" style="277" bestFit="1" customWidth="1"/>
    <col min="4884" max="5120" width="9.140625" style="277"/>
    <col min="5121" max="5121" width="64.5703125" style="277" customWidth="1"/>
    <col min="5122" max="5122" width="8.42578125" style="277" customWidth="1"/>
    <col min="5123" max="5123" width="9.7109375" style="277" bestFit="1" customWidth="1"/>
    <col min="5124" max="5124" width="3" style="277" customWidth="1"/>
    <col min="5125" max="5125" width="3.28515625" style="277" customWidth="1"/>
    <col min="5126" max="5127" width="2.85546875" style="277" customWidth="1"/>
    <col min="5128" max="5128" width="3" style="277" customWidth="1"/>
    <col min="5129" max="5129" width="2.5703125" style="277" customWidth="1"/>
    <col min="5130" max="5130" width="3" style="277" customWidth="1"/>
    <col min="5131" max="5131" width="2.7109375" style="277" customWidth="1"/>
    <col min="5132" max="5132" width="2.42578125" style="277" customWidth="1"/>
    <col min="5133" max="5133" width="13.85546875" style="277" bestFit="1" customWidth="1"/>
    <col min="5134" max="5134" width="9.140625" style="277"/>
    <col min="5135" max="5135" width="13.42578125" style="277" customWidth="1"/>
    <col min="5136" max="5136" width="19.42578125" style="277" customWidth="1"/>
    <col min="5137" max="5137" width="13.5703125" style="277" customWidth="1"/>
    <col min="5138" max="5138" width="24.5703125" style="277" customWidth="1"/>
    <col min="5139" max="5139" width="11.28515625" style="277" bestFit="1" customWidth="1"/>
    <col min="5140" max="5376" width="9.140625" style="277"/>
    <col min="5377" max="5377" width="64.5703125" style="277" customWidth="1"/>
    <col min="5378" max="5378" width="8.42578125" style="277" customWidth="1"/>
    <col min="5379" max="5379" width="9.7109375" style="277" bestFit="1" customWidth="1"/>
    <col min="5380" max="5380" width="3" style="277" customWidth="1"/>
    <col min="5381" max="5381" width="3.28515625" style="277" customWidth="1"/>
    <col min="5382" max="5383" width="2.85546875" style="277" customWidth="1"/>
    <col min="5384" max="5384" width="3" style="277" customWidth="1"/>
    <col min="5385" max="5385" width="2.5703125" style="277" customWidth="1"/>
    <col min="5386" max="5386" width="3" style="277" customWidth="1"/>
    <col min="5387" max="5387" width="2.7109375" style="277" customWidth="1"/>
    <col min="5388" max="5388" width="2.42578125" style="277" customWidth="1"/>
    <col min="5389" max="5389" width="13.85546875" style="277" bestFit="1" customWidth="1"/>
    <col min="5390" max="5390" width="9.140625" style="277"/>
    <col min="5391" max="5391" width="13.42578125" style="277" customWidth="1"/>
    <col min="5392" max="5392" width="19.42578125" style="277" customWidth="1"/>
    <col min="5393" max="5393" width="13.5703125" style="277" customWidth="1"/>
    <col min="5394" max="5394" width="24.5703125" style="277" customWidth="1"/>
    <col min="5395" max="5395" width="11.28515625" style="277" bestFit="1" customWidth="1"/>
    <col min="5396" max="5632" width="9.140625" style="277"/>
    <col min="5633" max="5633" width="64.5703125" style="277" customWidth="1"/>
    <col min="5634" max="5634" width="8.42578125" style="277" customWidth="1"/>
    <col min="5635" max="5635" width="9.7109375" style="277" bestFit="1" customWidth="1"/>
    <col min="5636" max="5636" width="3" style="277" customWidth="1"/>
    <col min="5637" max="5637" width="3.28515625" style="277" customWidth="1"/>
    <col min="5638" max="5639" width="2.85546875" style="277" customWidth="1"/>
    <col min="5640" max="5640" width="3" style="277" customWidth="1"/>
    <col min="5641" max="5641" width="2.5703125" style="277" customWidth="1"/>
    <col min="5642" max="5642" width="3" style="277" customWidth="1"/>
    <col min="5643" max="5643" width="2.7109375" style="277" customWidth="1"/>
    <col min="5644" max="5644" width="2.42578125" style="277" customWidth="1"/>
    <col min="5645" max="5645" width="13.85546875" style="277" bestFit="1" customWidth="1"/>
    <col min="5646" max="5646" width="9.140625" style="277"/>
    <col min="5647" max="5647" width="13.42578125" style="277" customWidth="1"/>
    <col min="5648" max="5648" width="19.42578125" style="277" customWidth="1"/>
    <col min="5649" max="5649" width="13.5703125" style="277" customWidth="1"/>
    <col min="5650" max="5650" width="24.5703125" style="277" customWidth="1"/>
    <col min="5651" max="5651" width="11.28515625" style="277" bestFit="1" customWidth="1"/>
    <col min="5652" max="5888" width="9.140625" style="277"/>
    <col min="5889" max="5889" width="64.5703125" style="277" customWidth="1"/>
    <col min="5890" max="5890" width="8.42578125" style="277" customWidth="1"/>
    <col min="5891" max="5891" width="9.7109375" style="277" bestFit="1" customWidth="1"/>
    <col min="5892" max="5892" width="3" style="277" customWidth="1"/>
    <col min="5893" max="5893" width="3.28515625" style="277" customWidth="1"/>
    <col min="5894" max="5895" width="2.85546875" style="277" customWidth="1"/>
    <col min="5896" max="5896" width="3" style="277" customWidth="1"/>
    <col min="5897" max="5897" width="2.5703125" style="277" customWidth="1"/>
    <col min="5898" max="5898" width="3" style="277" customWidth="1"/>
    <col min="5899" max="5899" width="2.7109375" style="277" customWidth="1"/>
    <col min="5900" max="5900" width="2.42578125" style="277" customWidth="1"/>
    <col min="5901" max="5901" width="13.85546875" style="277" bestFit="1" customWidth="1"/>
    <col min="5902" max="5902" width="9.140625" style="277"/>
    <col min="5903" max="5903" width="13.42578125" style="277" customWidth="1"/>
    <col min="5904" max="5904" width="19.42578125" style="277" customWidth="1"/>
    <col min="5905" max="5905" width="13.5703125" style="277" customWidth="1"/>
    <col min="5906" max="5906" width="24.5703125" style="277" customWidth="1"/>
    <col min="5907" max="5907" width="11.28515625" style="277" bestFit="1" customWidth="1"/>
    <col min="5908" max="6144" width="9.140625" style="277"/>
    <col min="6145" max="6145" width="64.5703125" style="277" customWidth="1"/>
    <col min="6146" max="6146" width="8.42578125" style="277" customWidth="1"/>
    <col min="6147" max="6147" width="9.7109375" style="277" bestFit="1" customWidth="1"/>
    <col min="6148" max="6148" width="3" style="277" customWidth="1"/>
    <col min="6149" max="6149" width="3.28515625" style="277" customWidth="1"/>
    <col min="6150" max="6151" width="2.85546875" style="277" customWidth="1"/>
    <col min="6152" max="6152" width="3" style="277" customWidth="1"/>
    <col min="6153" max="6153" width="2.5703125" style="277" customWidth="1"/>
    <col min="6154" max="6154" width="3" style="277" customWidth="1"/>
    <col min="6155" max="6155" width="2.7109375" style="277" customWidth="1"/>
    <col min="6156" max="6156" width="2.42578125" style="277" customWidth="1"/>
    <col min="6157" max="6157" width="13.85546875" style="277" bestFit="1" customWidth="1"/>
    <col min="6158" max="6158" width="9.140625" style="277"/>
    <col min="6159" max="6159" width="13.42578125" style="277" customWidth="1"/>
    <col min="6160" max="6160" width="19.42578125" style="277" customWidth="1"/>
    <col min="6161" max="6161" width="13.5703125" style="277" customWidth="1"/>
    <col min="6162" max="6162" width="24.5703125" style="277" customWidth="1"/>
    <col min="6163" max="6163" width="11.28515625" style="277" bestFit="1" customWidth="1"/>
    <col min="6164" max="6400" width="9.140625" style="277"/>
    <col min="6401" max="6401" width="64.5703125" style="277" customWidth="1"/>
    <col min="6402" max="6402" width="8.42578125" style="277" customWidth="1"/>
    <col min="6403" max="6403" width="9.7109375" style="277" bestFit="1" customWidth="1"/>
    <col min="6404" max="6404" width="3" style="277" customWidth="1"/>
    <col min="6405" max="6405" width="3.28515625" style="277" customWidth="1"/>
    <col min="6406" max="6407" width="2.85546875" style="277" customWidth="1"/>
    <col min="6408" max="6408" width="3" style="277" customWidth="1"/>
    <col min="6409" max="6409" width="2.5703125" style="277" customWidth="1"/>
    <col min="6410" max="6410" width="3" style="277" customWidth="1"/>
    <col min="6411" max="6411" width="2.7109375" style="277" customWidth="1"/>
    <col min="6412" max="6412" width="2.42578125" style="277" customWidth="1"/>
    <col min="6413" max="6413" width="13.85546875" style="277" bestFit="1" customWidth="1"/>
    <col min="6414" max="6414" width="9.140625" style="277"/>
    <col min="6415" max="6415" width="13.42578125" style="277" customWidth="1"/>
    <col min="6416" max="6416" width="19.42578125" style="277" customWidth="1"/>
    <col min="6417" max="6417" width="13.5703125" style="277" customWidth="1"/>
    <col min="6418" max="6418" width="24.5703125" style="277" customWidth="1"/>
    <col min="6419" max="6419" width="11.28515625" style="277" bestFit="1" customWidth="1"/>
    <col min="6420" max="6656" width="9.140625" style="277"/>
    <col min="6657" max="6657" width="64.5703125" style="277" customWidth="1"/>
    <col min="6658" max="6658" width="8.42578125" style="277" customWidth="1"/>
    <col min="6659" max="6659" width="9.7109375" style="277" bestFit="1" customWidth="1"/>
    <col min="6660" max="6660" width="3" style="277" customWidth="1"/>
    <col min="6661" max="6661" width="3.28515625" style="277" customWidth="1"/>
    <col min="6662" max="6663" width="2.85546875" style="277" customWidth="1"/>
    <col min="6664" max="6664" width="3" style="277" customWidth="1"/>
    <col min="6665" max="6665" width="2.5703125" style="277" customWidth="1"/>
    <col min="6666" max="6666" width="3" style="277" customWidth="1"/>
    <col min="6667" max="6667" width="2.7109375" style="277" customWidth="1"/>
    <col min="6668" max="6668" width="2.42578125" style="277" customWidth="1"/>
    <col min="6669" max="6669" width="13.85546875" style="277" bestFit="1" customWidth="1"/>
    <col min="6670" max="6670" width="9.140625" style="277"/>
    <col min="6671" max="6671" width="13.42578125" style="277" customWidth="1"/>
    <col min="6672" max="6672" width="19.42578125" style="277" customWidth="1"/>
    <col min="6673" max="6673" width="13.5703125" style="277" customWidth="1"/>
    <col min="6674" max="6674" width="24.5703125" style="277" customWidth="1"/>
    <col min="6675" max="6675" width="11.28515625" style="277" bestFit="1" customWidth="1"/>
    <col min="6676" max="6912" width="9.140625" style="277"/>
    <col min="6913" max="6913" width="64.5703125" style="277" customWidth="1"/>
    <col min="6914" max="6914" width="8.42578125" style="277" customWidth="1"/>
    <col min="6915" max="6915" width="9.7109375" style="277" bestFit="1" customWidth="1"/>
    <col min="6916" max="6916" width="3" style="277" customWidth="1"/>
    <col min="6917" max="6917" width="3.28515625" style="277" customWidth="1"/>
    <col min="6918" max="6919" width="2.85546875" style="277" customWidth="1"/>
    <col min="6920" max="6920" width="3" style="277" customWidth="1"/>
    <col min="6921" max="6921" width="2.5703125" style="277" customWidth="1"/>
    <col min="6922" max="6922" width="3" style="277" customWidth="1"/>
    <col min="6923" max="6923" width="2.7109375" style="277" customWidth="1"/>
    <col min="6924" max="6924" width="2.42578125" style="277" customWidth="1"/>
    <col min="6925" max="6925" width="13.85546875" style="277" bestFit="1" customWidth="1"/>
    <col min="6926" max="6926" width="9.140625" style="277"/>
    <col min="6927" max="6927" width="13.42578125" style="277" customWidth="1"/>
    <col min="6928" max="6928" width="19.42578125" style="277" customWidth="1"/>
    <col min="6929" max="6929" width="13.5703125" style="277" customWidth="1"/>
    <col min="6930" max="6930" width="24.5703125" style="277" customWidth="1"/>
    <col min="6931" max="6931" width="11.28515625" style="277" bestFit="1" customWidth="1"/>
    <col min="6932" max="7168" width="9.140625" style="277"/>
    <col min="7169" max="7169" width="64.5703125" style="277" customWidth="1"/>
    <col min="7170" max="7170" width="8.42578125" style="277" customWidth="1"/>
    <col min="7171" max="7171" width="9.7109375" style="277" bestFit="1" customWidth="1"/>
    <col min="7172" max="7172" width="3" style="277" customWidth="1"/>
    <col min="7173" max="7173" width="3.28515625" style="277" customWidth="1"/>
    <col min="7174" max="7175" width="2.85546875" style="277" customWidth="1"/>
    <col min="7176" max="7176" width="3" style="277" customWidth="1"/>
    <col min="7177" max="7177" width="2.5703125" style="277" customWidth="1"/>
    <col min="7178" max="7178" width="3" style="277" customWidth="1"/>
    <col min="7179" max="7179" width="2.7109375" style="277" customWidth="1"/>
    <col min="7180" max="7180" width="2.42578125" style="277" customWidth="1"/>
    <col min="7181" max="7181" width="13.85546875" style="277" bestFit="1" customWidth="1"/>
    <col min="7182" max="7182" width="9.140625" style="277"/>
    <col min="7183" max="7183" width="13.42578125" style="277" customWidth="1"/>
    <col min="7184" max="7184" width="19.42578125" style="277" customWidth="1"/>
    <col min="7185" max="7185" width="13.5703125" style="277" customWidth="1"/>
    <col min="7186" max="7186" width="24.5703125" style="277" customWidth="1"/>
    <col min="7187" max="7187" width="11.28515625" style="277" bestFit="1" customWidth="1"/>
    <col min="7188" max="7424" width="9.140625" style="277"/>
    <col min="7425" max="7425" width="64.5703125" style="277" customWidth="1"/>
    <col min="7426" max="7426" width="8.42578125" style="277" customWidth="1"/>
    <col min="7427" max="7427" width="9.7109375" style="277" bestFit="1" customWidth="1"/>
    <col min="7428" max="7428" width="3" style="277" customWidth="1"/>
    <col min="7429" max="7429" width="3.28515625" style="277" customWidth="1"/>
    <col min="7430" max="7431" width="2.85546875" style="277" customWidth="1"/>
    <col min="7432" max="7432" width="3" style="277" customWidth="1"/>
    <col min="7433" max="7433" width="2.5703125" style="277" customWidth="1"/>
    <col min="7434" max="7434" width="3" style="277" customWidth="1"/>
    <col min="7435" max="7435" width="2.7109375" style="277" customWidth="1"/>
    <col min="7436" max="7436" width="2.42578125" style="277" customWidth="1"/>
    <col min="7437" max="7437" width="13.85546875" style="277" bestFit="1" customWidth="1"/>
    <col min="7438" max="7438" width="9.140625" style="277"/>
    <col min="7439" max="7439" width="13.42578125" style="277" customWidth="1"/>
    <col min="7440" max="7440" width="19.42578125" style="277" customWidth="1"/>
    <col min="7441" max="7441" width="13.5703125" style="277" customWidth="1"/>
    <col min="7442" max="7442" width="24.5703125" style="277" customWidth="1"/>
    <col min="7443" max="7443" width="11.28515625" style="277" bestFit="1" customWidth="1"/>
    <col min="7444" max="7680" width="9.140625" style="277"/>
    <col min="7681" max="7681" width="64.5703125" style="277" customWidth="1"/>
    <col min="7682" max="7682" width="8.42578125" style="277" customWidth="1"/>
    <col min="7683" max="7683" width="9.7109375" style="277" bestFit="1" customWidth="1"/>
    <col min="7684" max="7684" width="3" style="277" customWidth="1"/>
    <col min="7685" max="7685" width="3.28515625" style="277" customWidth="1"/>
    <col min="7686" max="7687" width="2.85546875" style="277" customWidth="1"/>
    <col min="7688" max="7688" width="3" style="277" customWidth="1"/>
    <col min="7689" max="7689" width="2.5703125" style="277" customWidth="1"/>
    <col min="7690" max="7690" width="3" style="277" customWidth="1"/>
    <col min="7691" max="7691" width="2.7109375" style="277" customWidth="1"/>
    <col min="7692" max="7692" width="2.42578125" style="277" customWidth="1"/>
    <col min="7693" max="7693" width="13.85546875" style="277" bestFit="1" customWidth="1"/>
    <col min="7694" max="7694" width="9.140625" style="277"/>
    <col min="7695" max="7695" width="13.42578125" style="277" customWidth="1"/>
    <col min="7696" max="7696" width="19.42578125" style="277" customWidth="1"/>
    <col min="7697" max="7697" width="13.5703125" style="277" customWidth="1"/>
    <col min="7698" max="7698" width="24.5703125" style="277" customWidth="1"/>
    <col min="7699" max="7699" width="11.28515625" style="277" bestFit="1" customWidth="1"/>
    <col min="7700" max="7936" width="9.140625" style="277"/>
    <col min="7937" max="7937" width="64.5703125" style="277" customWidth="1"/>
    <col min="7938" max="7938" width="8.42578125" style="277" customWidth="1"/>
    <col min="7939" max="7939" width="9.7109375" style="277" bestFit="1" customWidth="1"/>
    <col min="7940" max="7940" width="3" style="277" customWidth="1"/>
    <col min="7941" max="7941" width="3.28515625" style="277" customWidth="1"/>
    <col min="7942" max="7943" width="2.85546875" style="277" customWidth="1"/>
    <col min="7944" max="7944" width="3" style="277" customWidth="1"/>
    <col min="7945" max="7945" width="2.5703125" style="277" customWidth="1"/>
    <col min="7946" max="7946" width="3" style="277" customWidth="1"/>
    <col min="7947" max="7947" width="2.7109375" style="277" customWidth="1"/>
    <col min="7948" max="7948" width="2.42578125" style="277" customWidth="1"/>
    <col min="7949" max="7949" width="13.85546875" style="277" bestFit="1" customWidth="1"/>
    <col min="7950" max="7950" width="9.140625" style="277"/>
    <col min="7951" max="7951" width="13.42578125" style="277" customWidth="1"/>
    <col min="7952" max="7952" width="19.42578125" style="277" customWidth="1"/>
    <col min="7953" max="7953" width="13.5703125" style="277" customWidth="1"/>
    <col min="7954" max="7954" width="24.5703125" style="277" customWidth="1"/>
    <col min="7955" max="7955" width="11.28515625" style="277" bestFit="1" customWidth="1"/>
    <col min="7956" max="8192" width="9.140625" style="277"/>
    <col min="8193" max="8193" width="64.5703125" style="277" customWidth="1"/>
    <col min="8194" max="8194" width="8.42578125" style="277" customWidth="1"/>
    <col min="8195" max="8195" width="9.7109375" style="277" bestFit="1" customWidth="1"/>
    <col min="8196" max="8196" width="3" style="277" customWidth="1"/>
    <col min="8197" max="8197" width="3.28515625" style="277" customWidth="1"/>
    <col min="8198" max="8199" width="2.85546875" style="277" customWidth="1"/>
    <col min="8200" max="8200" width="3" style="277" customWidth="1"/>
    <col min="8201" max="8201" width="2.5703125" style="277" customWidth="1"/>
    <col min="8202" max="8202" width="3" style="277" customWidth="1"/>
    <col min="8203" max="8203" width="2.7109375" style="277" customWidth="1"/>
    <col min="8204" max="8204" width="2.42578125" style="277" customWidth="1"/>
    <col min="8205" max="8205" width="13.85546875" style="277" bestFit="1" customWidth="1"/>
    <col min="8206" max="8206" width="9.140625" style="277"/>
    <col min="8207" max="8207" width="13.42578125" style="277" customWidth="1"/>
    <col min="8208" max="8208" width="19.42578125" style="277" customWidth="1"/>
    <col min="8209" max="8209" width="13.5703125" style="277" customWidth="1"/>
    <col min="8210" max="8210" width="24.5703125" style="277" customWidth="1"/>
    <col min="8211" max="8211" width="11.28515625" style="277" bestFit="1" customWidth="1"/>
    <col min="8212" max="8448" width="9.140625" style="277"/>
    <col min="8449" max="8449" width="64.5703125" style="277" customWidth="1"/>
    <col min="8450" max="8450" width="8.42578125" style="277" customWidth="1"/>
    <col min="8451" max="8451" width="9.7109375" style="277" bestFit="1" customWidth="1"/>
    <col min="8452" max="8452" width="3" style="277" customWidth="1"/>
    <col min="8453" max="8453" width="3.28515625" style="277" customWidth="1"/>
    <col min="8454" max="8455" width="2.85546875" style="277" customWidth="1"/>
    <col min="8456" max="8456" width="3" style="277" customWidth="1"/>
    <col min="8457" max="8457" width="2.5703125" style="277" customWidth="1"/>
    <col min="8458" max="8458" width="3" style="277" customWidth="1"/>
    <col min="8459" max="8459" width="2.7109375" style="277" customWidth="1"/>
    <col min="8460" max="8460" width="2.42578125" style="277" customWidth="1"/>
    <col min="8461" max="8461" width="13.85546875" style="277" bestFit="1" customWidth="1"/>
    <col min="8462" max="8462" width="9.140625" style="277"/>
    <col min="8463" max="8463" width="13.42578125" style="277" customWidth="1"/>
    <col min="8464" max="8464" width="19.42578125" style="277" customWidth="1"/>
    <col min="8465" max="8465" width="13.5703125" style="277" customWidth="1"/>
    <col min="8466" max="8466" width="24.5703125" style="277" customWidth="1"/>
    <col min="8467" max="8467" width="11.28515625" style="277" bestFit="1" customWidth="1"/>
    <col min="8468" max="8704" width="9.140625" style="277"/>
    <col min="8705" max="8705" width="64.5703125" style="277" customWidth="1"/>
    <col min="8706" max="8706" width="8.42578125" style="277" customWidth="1"/>
    <col min="8707" max="8707" width="9.7109375" style="277" bestFit="1" customWidth="1"/>
    <col min="8708" max="8708" width="3" style="277" customWidth="1"/>
    <col min="8709" max="8709" width="3.28515625" style="277" customWidth="1"/>
    <col min="8710" max="8711" width="2.85546875" style="277" customWidth="1"/>
    <col min="8712" max="8712" width="3" style="277" customWidth="1"/>
    <col min="8713" max="8713" width="2.5703125" style="277" customWidth="1"/>
    <col min="8714" max="8714" width="3" style="277" customWidth="1"/>
    <col min="8715" max="8715" width="2.7109375" style="277" customWidth="1"/>
    <col min="8716" max="8716" width="2.42578125" style="277" customWidth="1"/>
    <col min="8717" max="8717" width="13.85546875" style="277" bestFit="1" customWidth="1"/>
    <col min="8718" max="8718" width="9.140625" style="277"/>
    <col min="8719" max="8719" width="13.42578125" style="277" customWidth="1"/>
    <col min="8720" max="8720" width="19.42578125" style="277" customWidth="1"/>
    <col min="8721" max="8721" width="13.5703125" style="277" customWidth="1"/>
    <col min="8722" max="8722" width="24.5703125" style="277" customWidth="1"/>
    <col min="8723" max="8723" width="11.28515625" style="277" bestFit="1" customWidth="1"/>
    <col min="8724" max="8960" width="9.140625" style="277"/>
    <col min="8961" max="8961" width="64.5703125" style="277" customWidth="1"/>
    <col min="8962" max="8962" width="8.42578125" style="277" customWidth="1"/>
    <col min="8963" max="8963" width="9.7109375" style="277" bestFit="1" customWidth="1"/>
    <col min="8964" max="8964" width="3" style="277" customWidth="1"/>
    <col min="8965" max="8965" width="3.28515625" style="277" customWidth="1"/>
    <col min="8966" max="8967" width="2.85546875" style="277" customWidth="1"/>
    <col min="8968" max="8968" width="3" style="277" customWidth="1"/>
    <col min="8969" max="8969" width="2.5703125" style="277" customWidth="1"/>
    <col min="8970" max="8970" width="3" style="277" customWidth="1"/>
    <col min="8971" max="8971" width="2.7109375" style="277" customWidth="1"/>
    <col min="8972" max="8972" width="2.42578125" style="277" customWidth="1"/>
    <col min="8973" max="8973" width="13.85546875" style="277" bestFit="1" customWidth="1"/>
    <col min="8974" max="8974" width="9.140625" style="277"/>
    <col min="8975" max="8975" width="13.42578125" style="277" customWidth="1"/>
    <col min="8976" max="8976" width="19.42578125" style="277" customWidth="1"/>
    <col min="8977" max="8977" width="13.5703125" style="277" customWidth="1"/>
    <col min="8978" max="8978" width="24.5703125" style="277" customWidth="1"/>
    <col min="8979" max="8979" width="11.28515625" style="277" bestFit="1" customWidth="1"/>
    <col min="8980" max="9216" width="9.140625" style="277"/>
    <col min="9217" max="9217" width="64.5703125" style="277" customWidth="1"/>
    <col min="9218" max="9218" width="8.42578125" style="277" customWidth="1"/>
    <col min="9219" max="9219" width="9.7109375" style="277" bestFit="1" customWidth="1"/>
    <col min="9220" max="9220" width="3" style="277" customWidth="1"/>
    <col min="9221" max="9221" width="3.28515625" style="277" customWidth="1"/>
    <col min="9222" max="9223" width="2.85546875" style="277" customWidth="1"/>
    <col min="9224" max="9224" width="3" style="277" customWidth="1"/>
    <col min="9225" max="9225" width="2.5703125" style="277" customWidth="1"/>
    <col min="9226" max="9226" width="3" style="277" customWidth="1"/>
    <col min="9227" max="9227" width="2.7109375" style="277" customWidth="1"/>
    <col min="9228" max="9228" width="2.42578125" style="277" customWidth="1"/>
    <col min="9229" max="9229" width="13.85546875" style="277" bestFit="1" customWidth="1"/>
    <col min="9230" max="9230" width="9.140625" style="277"/>
    <col min="9231" max="9231" width="13.42578125" style="277" customWidth="1"/>
    <col min="9232" max="9232" width="19.42578125" style="277" customWidth="1"/>
    <col min="9233" max="9233" width="13.5703125" style="277" customWidth="1"/>
    <col min="9234" max="9234" width="24.5703125" style="277" customWidth="1"/>
    <col min="9235" max="9235" width="11.28515625" style="277" bestFit="1" customWidth="1"/>
    <col min="9236" max="9472" width="9.140625" style="277"/>
    <col min="9473" max="9473" width="64.5703125" style="277" customWidth="1"/>
    <col min="9474" max="9474" width="8.42578125" style="277" customWidth="1"/>
    <col min="9475" max="9475" width="9.7109375" style="277" bestFit="1" customWidth="1"/>
    <col min="9476" max="9476" width="3" style="277" customWidth="1"/>
    <col min="9477" max="9477" width="3.28515625" style="277" customWidth="1"/>
    <col min="9478" max="9479" width="2.85546875" style="277" customWidth="1"/>
    <col min="9480" max="9480" width="3" style="277" customWidth="1"/>
    <col min="9481" max="9481" width="2.5703125" style="277" customWidth="1"/>
    <col min="9482" max="9482" width="3" style="277" customWidth="1"/>
    <col min="9483" max="9483" width="2.7109375" style="277" customWidth="1"/>
    <col min="9484" max="9484" width="2.42578125" style="277" customWidth="1"/>
    <col min="9485" max="9485" width="13.85546875" style="277" bestFit="1" customWidth="1"/>
    <col min="9486" max="9486" width="9.140625" style="277"/>
    <col min="9487" max="9487" width="13.42578125" style="277" customWidth="1"/>
    <col min="9488" max="9488" width="19.42578125" style="277" customWidth="1"/>
    <col min="9489" max="9489" width="13.5703125" style="277" customWidth="1"/>
    <col min="9490" max="9490" width="24.5703125" style="277" customWidth="1"/>
    <col min="9491" max="9491" width="11.28515625" style="277" bestFit="1" customWidth="1"/>
    <col min="9492" max="9728" width="9.140625" style="277"/>
    <col min="9729" max="9729" width="64.5703125" style="277" customWidth="1"/>
    <col min="9730" max="9730" width="8.42578125" style="277" customWidth="1"/>
    <col min="9731" max="9731" width="9.7109375" style="277" bestFit="1" customWidth="1"/>
    <col min="9732" max="9732" width="3" style="277" customWidth="1"/>
    <col min="9733" max="9733" width="3.28515625" style="277" customWidth="1"/>
    <col min="9734" max="9735" width="2.85546875" style="277" customWidth="1"/>
    <col min="9736" max="9736" width="3" style="277" customWidth="1"/>
    <col min="9737" max="9737" width="2.5703125" style="277" customWidth="1"/>
    <col min="9738" max="9738" width="3" style="277" customWidth="1"/>
    <col min="9739" max="9739" width="2.7109375" style="277" customWidth="1"/>
    <col min="9740" max="9740" width="2.42578125" style="277" customWidth="1"/>
    <col min="9741" max="9741" width="13.85546875" style="277" bestFit="1" customWidth="1"/>
    <col min="9742" max="9742" width="9.140625" style="277"/>
    <col min="9743" max="9743" width="13.42578125" style="277" customWidth="1"/>
    <col min="9744" max="9744" width="19.42578125" style="277" customWidth="1"/>
    <col min="9745" max="9745" width="13.5703125" style="277" customWidth="1"/>
    <col min="9746" max="9746" width="24.5703125" style="277" customWidth="1"/>
    <col min="9747" max="9747" width="11.28515625" style="277" bestFit="1" customWidth="1"/>
    <col min="9748" max="9984" width="9.140625" style="277"/>
    <col min="9985" max="9985" width="64.5703125" style="277" customWidth="1"/>
    <col min="9986" max="9986" width="8.42578125" style="277" customWidth="1"/>
    <col min="9987" max="9987" width="9.7109375" style="277" bestFit="1" customWidth="1"/>
    <col min="9988" max="9988" width="3" style="277" customWidth="1"/>
    <col min="9989" max="9989" width="3.28515625" style="277" customWidth="1"/>
    <col min="9990" max="9991" width="2.85546875" style="277" customWidth="1"/>
    <col min="9992" max="9992" width="3" style="277" customWidth="1"/>
    <col min="9993" max="9993" width="2.5703125" style="277" customWidth="1"/>
    <col min="9994" max="9994" width="3" style="277" customWidth="1"/>
    <col min="9995" max="9995" width="2.7109375" style="277" customWidth="1"/>
    <col min="9996" max="9996" width="2.42578125" style="277" customWidth="1"/>
    <col min="9997" max="9997" width="13.85546875" style="277" bestFit="1" customWidth="1"/>
    <col min="9998" max="9998" width="9.140625" style="277"/>
    <col min="9999" max="9999" width="13.42578125" style="277" customWidth="1"/>
    <col min="10000" max="10000" width="19.42578125" style="277" customWidth="1"/>
    <col min="10001" max="10001" width="13.5703125" style="277" customWidth="1"/>
    <col min="10002" max="10002" width="24.5703125" style="277" customWidth="1"/>
    <col min="10003" max="10003" width="11.28515625" style="277" bestFit="1" customWidth="1"/>
    <col min="10004" max="10240" width="9.140625" style="277"/>
    <col min="10241" max="10241" width="64.5703125" style="277" customWidth="1"/>
    <col min="10242" max="10242" width="8.42578125" style="277" customWidth="1"/>
    <col min="10243" max="10243" width="9.7109375" style="277" bestFit="1" customWidth="1"/>
    <col min="10244" max="10244" width="3" style="277" customWidth="1"/>
    <col min="10245" max="10245" width="3.28515625" style="277" customWidth="1"/>
    <col min="10246" max="10247" width="2.85546875" style="277" customWidth="1"/>
    <col min="10248" max="10248" width="3" style="277" customWidth="1"/>
    <col min="10249" max="10249" width="2.5703125" style="277" customWidth="1"/>
    <col min="10250" max="10250" width="3" style="277" customWidth="1"/>
    <col min="10251" max="10251" width="2.7109375" style="277" customWidth="1"/>
    <col min="10252" max="10252" width="2.42578125" style="277" customWidth="1"/>
    <col min="10253" max="10253" width="13.85546875" style="277" bestFit="1" customWidth="1"/>
    <col min="10254" max="10254" width="9.140625" style="277"/>
    <col min="10255" max="10255" width="13.42578125" style="277" customWidth="1"/>
    <col min="10256" max="10256" width="19.42578125" style="277" customWidth="1"/>
    <col min="10257" max="10257" width="13.5703125" style="277" customWidth="1"/>
    <col min="10258" max="10258" width="24.5703125" style="277" customWidth="1"/>
    <col min="10259" max="10259" width="11.28515625" style="277" bestFit="1" customWidth="1"/>
    <col min="10260" max="10496" width="9.140625" style="277"/>
    <col min="10497" max="10497" width="64.5703125" style="277" customWidth="1"/>
    <col min="10498" max="10498" width="8.42578125" style="277" customWidth="1"/>
    <col min="10499" max="10499" width="9.7109375" style="277" bestFit="1" customWidth="1"/>
    <col min="10500" max="10500" width="3" style="277" customWidth="1"/>
    <col min="10501" max="10501" width="3.28515625" style="277" customWidth="1"/>
    <col min="10502" max="10503" width="2.85546875" style="277" customWidth="1"/>
    <col min="10504" max="10504" width="3" style="277" customWidth="1"/>
    <col min="10505" max="10505" width="2.5703125" style="277" customWidth="1"/>
    <col min="10506" max="10506" width="3" style="277" customWidth="1"/>
    <col min="10507" max="10507" width="2.7109375" style="277" customWidth="1"/>
    <col min="10508" max="10508" width="2.42578125" style="277" customWidth="1"/>
    <col min="10509" max="10509" width="13.85546875" style="277" bestFit="1" customWidth="1"/>
    <col min="10510" max="10510" width="9.140625" style="277"/>
    <col min="10511" max="10511" width="13.42578125" style="277" customWidth="1"/>
    <col min="10512" max="10512" width="19.42578125" style="277" customWidth="1"/>
    <col min="10513" max="10513" width="13.5703125" style="277" customWidth="1"/>
    <col min="10514" max="10514" width="24.5703125" style="277" customWidth="1"/>
    <col min="10515" max="10515" width="11.28515625" style="277" bestFit="1" customWidth="1"/>
    <col min="10516" max="10752" width="9.140625" style="277"/>
    <col min="10753" max="10753" width="64.5703125" style="277" customWidth="1"/>
    <col min="10754" max="10754" width="8.42578125" style="277" customWidth="1"/>
    <col min="10755" max="10755" width="9.7109375" style="277" bestFit="1" customWidth="1"/>
    <col min="10756" max="10756" width="3" style="277" customWidth="1"/>
    <col min="10757" max="10757" width="3.28515625" style="277" customWidth="1"/>
    <col min="10758" max="10759" width="2.85546875" style="277" customWidth="1"/>
    <col min="10760" max="10760" width="3" style="277" customWidth="1"/>
    <col min="10761" max="10761" width="2.5703125" style="277" customWidth="1"/>
    <col min="10762" max="10762" width="3" style="277" customWidth="1"/>
    <col min="10763" max="10763" width="2.7109375" style="277" customWidth="1"/>
    <col min="10764" max="10764" width="2.42578125" style="277" customWidth="1"/>
    <col min="10765" max="10765" width="13.85546875" style="277" bestFit="1" customWidth="1"/>
    <col min="10766" max="10766" width="9.140625" style="277"/>
    <col min="10767" max="10767" width="13.42578125" style="277" customWidth="1"/>
    <col min="10768" max="10768" width="19.42578125" style="277" customWidth="1"/>
    <col min="10769" max="10769" width="13.5703125" style="277" customWidth="1"/>
    <col min="10770" max="10770" width="24.5703125" style="277" customWidth="1"/>
    <col min="10771" max="10771" width="11.28515625" style="277" bestFit="1" customWidth="1"/>
    <col min="10772" max="11008" width="9.140625" style="277"/>
    <col min="11009" max="11009" width="64.5703125" style="277" customWidth="1"/>
    <col min="11010" max="11010" width="8.42578125" style="277" customWidth="1"/>
    <col min="11011" max="11011" width="9.7109375" style="277" bestFit="1" customWidth="1"/>
    <col min="11012" max="11012" width="3" style="277" customWidth="1"/>
    <col min="11013" max="11013" width="3.28515625" style="277" customWidth="1"/>
    <col min="11014" max="11015" width="2.85546875" style="277" customWidth="1"/>
    <col min="11016" max="11016" width="3" style="277" customWidth="1"/>
    <col min="11017" max="11017" width="2.5703125" style="277" customWidth="1"/>
    <col min="11018" max="11018" width="3" style="277" customWidth="1"/>
    <col min="11019" max="11019" width="2.7109375" style="277" customWidth="1"/>
    <col min="11020" max="11020" width="2.42578125" style="277" customWidth="1"/>
    <col min="11021" max="11021" width="13.85546875" style="277" bestFit="1" customWidth="1"/>
    <col min="11022" max="11022" width="9.140625" style="277"/>
    <col min="11023" max="11023" width="13.42578125" style="277" customWidth="1"/>
    <col min="11024" max="11024" width="19.42578125" style="277" customWidth="1"/>
    <col min="11025" max="11025" width="13.5703125" style="277" customWidth="1"/>
    <col min="11026" max="11026" width="24.5703125" style="277" customWidth="1"/>
    <col min="11027" max="11027" width="11.28515625" style="277" bestFit="1" customWidth="1"/>
    <col min="11028" max="11264" width="9.140625" style="277"/>
    <col min="11265" max="11265" width="64.5703125" style="277" customWidth="1"/>
    <col min="11266" max="11266" width="8.42578125" style="277" customWidth="1"/>
    <col min="11267" max="11267" width="9.7109375" style="277" bestFit="1" customWidth="1"/>
    <col min="11268" max="11268" width="3" style="277" customWidth="1"/>
    <col min="11269" max="11269" width="3.28515625" style="277" customWidth="1"/>
    <col min="11270" max="11271" width="2.85546875" style="277" customWidth="1"/>
    <col min="11272" max="11272" width="3" style="277" customWidth="1"/>
    <col min="11273" max="11273" width="2.5703125" style="277" customWidth="1"/>
    <col min="11274" max="11274" width="3" style="277" customWidth="1"/>
    <col min="11275" max="11275" width="2.7109375" style="277" customWidth="1"/>
    <col min="11276" max="11276" width="2.42578125" style="277" customWidth="1"/>
    <col min="11277" max="11277" width="13.85546875" style="277" bestFit="1" customWidth="1"/>
    <col min="11278" max="11278" width="9.140625" style="277"/>
    <col min="11279" max="11279" width="13.42578125" style="277" customWidth="1"/>
    <col min="11280" max="11280" width="19.42578125" style="277" customWidth="1"/>
    <col min="11281" max="11281" width="13.5703125" style="277" customWidth="1"/>
    <col min="11282" max="11282" width="24.5703125" style="277" customWidth="1"/>
    <col min="11283" max="11283" width="11.28515625" style="277" bestFit="1" customWidth="1"/>
    <col min="11284" max="11520" width="9.140625" style="277"/>
    <col min="11521" max="11521" width="64.5703125" style="277" customWidth="1"/>
    <col min="11522" max="11522" width="8.42578125" style="277" customWidth="1"/>
    <col min="11523" max="11523" width="9.7109375" style="277" bestFit="1" customWidth="1"/>
    <col min="11524" max="11524" width="3" style="277" customWidth="1"/>
    <col min="11525" max="11525" width="3.28515625" style="277" customWidth="1"/>
    <col min="11526" max="11527" width="2.85546875" style="277" customWidth="1"/>
    <col min="11528" max="11528" width="3" style="277" customWidth="1"/>
    <col min="11529" max="11529" width="2.5703125" style="277" customWidth="1"/>
    <col min="11530" max="11530" width="3" style="277" customWidth="1"/>
    <col min="11531" max="11531" width="2.7109375" style="277" customWidth="1"/>
    <col min="11532" max="11532" width="2.42578125" style="277" customWidth="1"/>
    <col min="11533" max="11533" width="13.85546875" style="277" bestFit="1" customWidth="1"/>
    <col min="11534" max="11534" width="9.140625" style="277"/>
    <col min="11535" max="11535" width="13.42578125" style="277" customWidth="1"/>
    <col min="11536" max="11536" width="19.42578125" style="277" customWidth="1"/>
    <col min="11537" max="11537" width="13.5703125" style="277" customWidth="1"/>
    <col min="11538" max="11538" width="24.5703125" style="277" customWidth="1"/>
    <col min="11539" max="11539" width="11.28515625" style="277" bestFit="1" customWidth="1"/>
    <col min="11540" max="11776" width="9.140625" style="277"/>
    <col min="11777" max="11777" width="64.5703125" style="277" customWidth="1"/>
    <col min="11778" max="11778" width="8.42578125" style="277" customWidth="1"/>
    <col min="11779" max="11779" width="9.7109375" style="277" bestFit="1" customWidth="1"/>
    <col min="11780" max="11780" width="3" style="277" customWidth="1"/>
    <col min="11781" max="11781" width="3.28515625" style="277" customWidth="1"/>
    <col min="11782" max="11783" width="2.85546875" style="277" customWidth="1"/>
    <col min="11784" max="11784" width="3" style="277" customWidth="1"/>
    <col min="11785" max="11785" width="2.5703125" style="277" customWidth="1"/>
    <col min="11786" max="11786" width="3" style="277" customWidth="1"/>
    <col min="11787" max="11787" width="2.7109375" style="277" customWidth="1"/>
    <col min="11788" max="11788" width="2.42578125" style="277" customWidth="1"/>
    <col min="11789" max="11789" width="13.85546875" style="277" bestFit="1" customWidth="1"/>
    <col min="11790" max="11790" width="9.140625" style="277"/>
    <col min="11791" max="11791" width="13.42578125" style="277" customWidth="1"/>
    <col min="11792" max="11792" width="19.42578125" style="277" customWidth="1"/>
    <col min="11793" max="11793" width="13.5703125" style="277" customWidth="1"/>
    <col min="11794" max="11794" width="24.5703125" style="277" customWidth="1"/>
    <col min="11795" max="11795" width="11.28515625" style="277" bestFit="1" customWidth="1"/>
    <col min="11796" max="12032" width="9.140625" style="277"/>
    <col min="12033" max="12033" width="64.5703125" style="277" customWidth="1"/>
    <col min="12034" max="12034" width="8.42578125" style="277" customWidth="1"/>
    <col min="12035" max="12035" width="9.7109375" style="277" bestFit="1" customWidth="1"/>
    <col min="12036" max="12036" width="3" style="277" customWidth="1"/>
    <col min="12037" max="12037" width="3.28515625" style="277" customWidth="1"/>
    <col min="12038" max="12039" width="2.85546875" style="277" customWidth="1"/>
    <col min="12040" max="12040" width="3" style="277" customWidth="1"/>
    <col min="12041" max="12041" width="2.5703125" style="277" customWidth="1"/>
    <col min="12042" max="12042" width="3" style="277" customWidth="1"/>
    <col min="12043" max="12043" width="2.7109375" style="277" customWidth="1"/>
    <col min="12044" max="12044" width="2.42578125" style="277" customWidth="1"/>
    <col min="12045" max="12045" width="13.85546875" style="277" bestFit="1" customWidth="1"/>
    <col min="12046" max="12046" width="9.140625" style="277"/>
    <col min="12047" max="12047" width="13.42578125" style="277" customWidth="1"/>
    <col min="12048" max="12048" width="19.42578125" style="277" customWidth="1"/>
    <col min="12049" max="12049" width="13.5703125" style="277" customWidth="1"/>
    <col min="12050" max="12050" width="24.5703125" style="277" customWidth="1"/>
    <col min="12051" max="12051" width="11.28515625" style="277" bestFit="1" customWidth="1"/>
    <col min="12052" max="12288" width="9.140625" style="277"/>
    <col min="12289" max="12289" width="64.5703125" style="277" customWidth="1"/>
    <col min="12290" max="12290" width="8.42578125" style="277" customWidth="1"/>
    <col min="12291" max="12291" width="9.7109375" style="277" bestFit="1" customWidth="1"/>
    <col min="12292" max="12292" width="3" style="277" customWidth="1"/>
    <col min="12293" max="12293" width="3.28515625" style="277" customWidth="1"/>
    <col min="12294" max="12295" width="2.85546875" style="277" customWidth="1"/>
    <col min="12296" max="12296" width="3" style="277" customWidth="1"/>
    <col min="12297" max="12297" width="2.5703125" style="277" customWidth="1"/>
    <col min="12298" max="12298" width="3" style="277" customWidth="1"/>
    <col min="12299" max="12299" width="2.7109375" style="277" customWidth="1"/>
    <col min="12300" max="12300" width="2.42578125" style="277" customWidth="1"/>
    <col min="12301" max="12301" width="13.85546875" style="277" bestFit="1" customWidth="1"/>
    <col min="12302" max="12302" width="9.140625" style="277"/>
    <col min="12303" max="12303" width="13.42578125" style="277" customWidth="1"/>
    <col min="12304" max="12304" width="19.42578125" style="277" customWidth="1"/>
    <col min="12305" max="12305" width="13.5703125" style="277" customWidth="1"/>
    <col min="12306" max="12306" width="24.5703125" style="277" customWidth="1"/>
    <col min="12307" max="12307" width="11.28515625" style="277" bestFit="1" customWidth="1"/>
    <col min="12308" max="12544" width="9.140625" style="277"/>
    <col min="12545" max="12545" width="64.5703125" style="277" customWidth="1"/>
    <col min="12546" max="12546" width="8.42578125" style="277" customWidth="1"/>
    <col min="12547" max="12547" width="9.7109375" style="277" bestFit="1" customWidth="1"/>
    <col min="12548" max="12548" width="3" style="277" customWidth="1"/>
    <col min="12549" max="12549" width="3.28515625" style="277" customWidth="1"/>
    <col min="12550" max="12551" width="2.85546875" style="277" customWidth="1"/>
    <col min="12552" max="12552" width="3" style="277" customWidth="1"/>
    <col min="12553" max="12553" width="2.5703125" style="277" customWidth="1"/>
    <col min="12554" max="12554" width="3" style="277" customWidth="1"/>
    <col min="12555" max="12555" width="2.7109375" style="277" customWidth="1"/>
    <col min="12556" max="12556" width="2.42578125" style="277" customWidth="1"/>
    <col min="12557" max="12557" width="13.85546875" style="277" bestFit="1" customWidth="1"/>
    <col min="12558" max="12558" width="9.140625" style="277"/>
    <col min="12559" max="12559" width="13.42578125" style="277" customWidth="1"/>
    <col min="12560" max="12560" width="19.42578125" style="277" customWidth="1"/>
    <col min="12561" max="12561" width="13.5703125" style="277" customWidth="1"/>
    <col min="12562" max="12562" width="24.5703125" style="277" customWidth="1"/>
    <col min="12563" max="12563" width="11.28515625" style="277" bestFit="1" customWidth="1"/>
    <col min="12564" max="12800" width="9.140625" style="277"/>
    <col min="12801" max="12801" width="64.5703125" style="277" customWidth="1"/>
    <col min="12802" max="12802" width="8.42578125" style="277" customWidth="1"/>
    <col min="12803" max="12803" width="9.7109375" style="277" bestFit="1" customWidth="1"/>
    <col min="12804" max="12804" width="3" style="277" customWidth="1"/>
    <col min="12805" max="12805" width="3.28515625" style="277" customWidth="1"/>
    <col min="12806" max="12807" width="2.85546875" style="277" customWidth="1"/>
    <col min="12808" max="12808" width="3" style="277" customWidth="1"/>
    <col min="12809" max="12809" width="2.5703125" style="277" customWidth="1"/>
    <col min="12810" max="12810" width="3" style="277" customWidth="1"/>
    <col min="12811" max="12811" width="2.7109375" style="277" customWidth="1"/>
    <col min="12812" max="12812" width="2.42578125" style="277" customWidth="1"/>
    <col min="12813" max="12813" width="13.85546875" style="277" bestFit="1" customWidth="1"/>
    <col min="12814" max="12814" width="9.140625" style="277"/>
    <col min="12815" max="12815" width="13.42578125" style="277" customWidth="1"/>
    <col min="12816" max="12816" width="19.42578125" style="277" customWidth="1"/>
    <col min="12817" max="12817" width="13.5703125" style="277" customWidth="1"/>
    <col min="12818" max="12818" width="24.5703125" style="277" customWidth="1"/>
    <col min="12819" max="12819" width="11.28515625" style="277" bestFit="1" customWidth="1"/>
    <col min="12820" max="13056" width="9.140625" style="277"/>
    <col min="13057" max="13057" width="64.5703125" style="277" customWidth="1"/>
    <col min="13058" max="13058" width="8.42578125" style="277" customWidth="1"/>
    <col min="13059" max="13059" width="9.7109375" style="277" bestFit="1" customWidth="1"/>
    <col min="13060" max="13060" width="3" style="277" customWidth="1"/>
    <col min="13061" max="13061" width="3.28515625" style="277" customWidth="1"/>
    <col min="13062" max="13063" width="2.85546875" style="277" customWidth="1"/>
    <col min="13064" max="13064" width="3" style="277" customWidth="1"/>
    <col min="13065" max="13065" width="2.5703125" style="277" customWidth="1"/>
    <col min="13066" max="13066" width="3" style="277" customWidth="1"/>
    <col min="13067" max="13067" width="2.7109375" style="277" customWidth="1"/>
    <col min="13068" max="13068" width="2.42578125" style="277" customWidth="1"/>
    <col min="13069" max="13069" width="13.85546875" style="277" bestFit="1" customWidth="1"/>
    <col min="13070" max="13070" width="9.140625" style="277"/>
    <col min="13071" max="13071" width="13.42578125" style="277" customWidth="1"/>
    <col min="13072" max="13072" width="19.42578125" style="277" customWidth="1"/>
    <col min="13073" max="13073" width="13.5703125" style="277" customWidth="1"/>
    <col min="13074" max="13074" width="24.5703125" style="277" customWidth="1"/>
    <col min="13075" max="13075" width="11.28515625" style="277" bestFit="1" customWidth="1"/>
    <col min="13076" max="13312" width="9.140625" style="277"/>
    <col min="13313" max="13313" width="64.5703125" style="277" customWidth="1"/>
    <col min="13314" max="13314" width="8.42578125" style="277" customWidth="1"/>
    <col min="13315" max="13315" width="9.7109375" style="277" bestFit="1" customWidth="1"/>
    <col min="13316" max="13316" width="3" style="277" customWidth="1"/>
    <col min="13317" max="13317" width="3.28515625" style="277" customWidth="1"/>
    <col min="13318" max="13319" width="2.85546875" style="277" customWidth="1"/>
    <col min="13320" max="13320" width="3" style="277" customWidth="1"/>
    <col min="13321" max="13321" width="2.5703125" style="277" customWidth="1"/>
    <col min="13322" max="13322" width="3" style="277" customWidth="1"/>
    <col min="13323" max="13323" width="2.7109375" style="277" customWidth="1"/>
    <col min="13324" max="13324" width="2.42578125" style="277" customWidth="1"/>
    <col min="13325" max="13325" width="13.85546875" style="277" bestFit="1" customWidth="1"/>
    <col min="13326" max="13326" width="9.140625" style="277"/>
    <col min="13327" max="13327" width="13.42578125" style="277" customWidth="1"/>
    <col min="13328" max="13328" width="19.42578125" style="277" customWidth="1"/>
    <col min="13329" max="13329" width="13.5703125" style="277" customWidth="1"/>
    <col min="13330" max="13330" width="24.5703125" style="277" customWidth="1"/>
    <col min="13331" max="13331" width="11.28515625" style="277" bestFit="1" customWidth="1"/>
    <col min="13332" max="13568" width="9.140625" style="277"/>
    <col min="13569" max="13569" width="64.5703125" style="277" customWidth="1"/>
    <col min="13570" max="13570" width="8.42578125" style="277" customWidth="1"/>
    <col min="13571" max="13571" width="9.7109375" style="277" bestFit="1" customWidth="1"/>
    <col min="13572" max="13572" width="3" style="277" customWidth="1"/>
    <col min="13573" max="13573" width="3.28515625" style="277" customWidth="1"/>
    <col min="13574" max="13575" width="2.85546875" style="277" customWidth="1"/>
    <col min="13576" max="13576" width="3" style="277" customWidth="1"/>
    <col min="13577" max="13577" width="2.5703125" style="277" customWidth="1"/>
    <col min="13578" max="13578" width="3" style="277" customWidth="1"/>
    <col min="13579" max="13579" width="2.7109375" style="277" customWidth="1"/>
    <col min="13580" max="13580" width="2.42578125" style="277" customWidth="1"/>
    <col min="13581" max="13581" width="13.85546875" style="277" bestFit="1" customWidth="1"/>
    <col min="13582" max="13582" width="9.140625" style="277"/>
    <col min="13583" max="13583" width="13.42578125" style="277" customWidth="1"/>
    <col min="13584" max="13584" width="19.42578125" style="277" customWidth="1"/>
    <col min="13585" max="13585" width="13.5703125" style="277" customWidth="1"/>
    <col min="13586" max="13586" width="24.5703125" style="277" customWidth="1"/>
    <col min="13587" max="13587" width="11.28515625" style="277" bestFit="1" customWidth="1"/>
    <col min="13588" max="13824" width="9.140625" style="277"/>
    <col min="13825" max="13825" width="64.5703125" style="277" customWidth="1"/>
    <col min="13826" max="13826" width="8.42578125" style="277" customWidth="1"/>
    <col min="13827" max="13827" width="9.7109375" style="277" bestFit="1" customWidth="1"/>
    <col min="13828" max="13828" width="3" style="277" customWidth="1"/>
    <col min="13829" max="13829" width="3.28515625" style="277" customWidth="1"/>
    <col min="13830" max="13831" width="2.85546875" style="277" customWidth="1"/>
    <col min="13832" max="13832" width="3" style="277" customWidth="1"/>
    <col min="13833" max="13833" width="2.5703125" style="277" customWidth="1"/>
    <col min="13834" max="13834" width="3" style="277" customWidth="1"/>
    <col min="13835" max="13835" width="2.7109375" style="277" customWidth="1"/>
    <col min="13836" max="13836" width="2.42578125" style="277" customWidth="1"/>
    <col min="13837" max="13837" width="13.85546875" style="277" bestFit="1" customWidth="1"/>
    <col min="13838" max="13838" width="9.140625" style="277"/>
    <col min="13839" max="13839" width="13.42578125" style="277" customWidth="1"/>
    <col min="13840" max="13840" width="19.42578125" style="277" customWidth="1"/>
    <col min="13841" max="13841" width="13.5703125" style="277" customWidth="1"/>
    <col min="13842" max="13842" width="24.5703125" style="277" customWidth="1"/>
    <col min="13843" max="13843" width="11.28515625" style="277" bestFit="1" customWidth="1"/>
    <col min="13844" max="14080" width="9.140625" style="277"/>
    <col min="14081" max="14081" width="64.5703125" style="277" customWidth="1"/>
    <col min="14082" max="14082" width="8.42578125" style="277" customWidth="1"/>
    <col min="14083" max="14083" width="9.7109375" style="277" bestFit="1" customWidth="1"/>
    <col min="14084" max="14084" width="3" style="277" customWidth="1"/>
    <col min="14085" max="14085" width="3.28515625" style="277" customWidth="1"/>
    <col min="14086" max="14087" width="2.85546875" style="277" customWidth="1"/>
    <col min="14088" max="14088" width="3" style="277" customWidth="1"/>
    <col min="14089" max="14089" width="2.5703125" style="277" customWidth="1"/>
    <col min="14090" max="14090" width="3" style="277" customWidth="1"/>
    <col min="14091" max="14091" width="2.7109375" style="277" customWidth="1"/>
    <col min="14092" max="14092" width="2.42578125" style="277" customWidth="1"/>
    <col min="14093" max="14093" width="13.85546875" style="277" bestFit="1" customWidth="1"/>
    <col min="14094" max="14094" width="9.140625" style="277"/>
    <col min="14095" max="14095" width="13.42578125" style="277" customWidth="1"/>
    <col min="14096" max="14096" width="19.42578125" style="277" customWidth="1"/>
    <col min="14097" max="14097" width="13.5703125" style="277" customWidth="1"/>
    <col min="14098" max="14098" width="24.5703125" style="277" customWidth="1"/>
    <col min="14099" max="14099" width="11.28515625" style="277" bestFit="1" customWidth="1"/>
    <col min="14100" max="14336" width="9.140625" style="277"/>
    <col min="14337" max="14337" width="64.5703125" style="277" customWidth="1"/>
    <col min="14338" max="14338" width="8.42578125" style="277" customWidth="1"/>
    <col min="14339" max="14339" width="9.7109375" style="277" bestFit="1" customWidth="1"/>
    <col min="14340" max="14340" width="3" style="277" customWidth="1"/>
    <col min="14341" max="14341" width="3.28515625" style="277" customWidth="1"/>
    <col min="14342" max="14343" width="2.85546875" style="277" customWidth="1"/>
    <col min="14344" max="14344" width="3" style="277" customWidth="1"/>
    <col min="14345" max="14345" width="2.5703125" style="277" customWidth="1"/>
    <col min="14346" max="14346" width="3" style="277" customWidth="1"/>
    <col min="14347" max="14347" width="2.7109375" style="277" customWidth="1"/>
    <col min="14348" max="14348" width="2.42578125" style="277" customWidth="1"/>
    <col min="14349" max="14349" width="13.85546875" style="277" bestFit="1" customWidth="1"/>
    <col min="14350" max="14350" width="9.140625" style="277"/>
    <col min="14351" max="14351" width="13.42578125" style="277" customWidth="1"/>
    <col min="14352" max="14352" width="19.42578125" style="277" customWidth="1"/>
    <col min="14353" max="14353" width="13.5703125" style="277" customWidth="1"/>
    <col min="14354" max="14354" width="24.5703125" style="277" customWidth="1"/>
    <col min="14355" max="14355" width="11.28515625" style="277" bestFit="1" customWidth="1"/>
    <col min="14356" max="14592" width="9.140625" style="277"/>
    <col min="14593" max="14593" width="64.5703125" style="277" customWidth="1"/>
    <col min="14594" max="14594" width="8.42578125" style="277" customWidth="1"/>
    <col min="14595" max="14595" width="9.7109375" style="277" bestFit="1" customWidth="1"/>
    <col min="14596" max="14596" width="3" style="277" customWidth="1"/>
    <col min="14597" max="14597" width="3.28515625" style="277" customWidth="1"/>
    <col min="14598" max="14599" width="2.85546875" style="277" customWidth="1"/>
    <col min="14600" max="14600" width="3" style="277" customWidth="1"/>
    <col min="14601" max="14601" width="2.5703125" style="277" customWidth="1"/>
    <col min="14602" max="14602" width="3" style="277" customWidth="1"/>
    <col min="14603" max="14603" width="2.7109375" style="277" customWidth="1"/>
    <col min="14604" max="14604" width="2.42578125" style="277" customWidth="1"/>
    <col min="14605" max="14605" width="13.85546875" style="277" bestFit="1" customWidth="1"/>
    <col min="14606" max="14606" width="9.140625" style="277"/>
    <col min="14607" max="14607" width="13.42578125" style="277" customWidth="1"/>
    <col min="14608" max="14608" width="19.42578125" style="277" customWidth="1"/>
    <col min="14609" max="14609" width="13.5703125" style="277" customWidth="1"/>
    <col min="14610" max="14610" width="24.5703125" style="277" customWidth="1"/>
    <col min="14611" max="14611" width="11.28515625" style="277" bestFit="1" customWidth="1"/>
    <col min="14612" max="14848" width="9.140625" style="277"/>
    <col min="14849" max="14849" width="64.5703125" style="277" customWidth="1"/>
    <col min="14850" max="14850" width="8.42578125" style="277" customWidth="1"/>
    <col min="14851" max="14851" width="9.7109375" style="277" bestFit="1" customWidth="1"/>
    <col min="14852" max="14852" width="3" style="277" customWidth="1"/>
    <col min="14853" max="14853" width="3.28515625" style="277" customWidth="1"/>
    <col min="14854" max="14855" width="2.85546875" style="277" customWidth="1"/>
    <col min="14856" max="14856" width="3" style="277" customWidth="1"/>
    <col min="14857" max="14857" width="2.5703125" style="277" customWidth="1"/>
    <col min="14858" max="14858" width="3" style="277" customWidth="1"/>
    <col min="14859" max="14859" width="2.7109375" style="277" customWidth="1"/>
    <col min="14860" max="14860" width="2.42578125" style="277" customWidth="1"/>
    <col min="14861" max="14861" width="13.85546875" style="277" bestFit="1" customWidth="1"/>
    <col min="14862" max="14862" width="9.140625" style="277"/>
    <col min="14863" max="14863" width="13.42578125" style="277" customWidth="1"/>
    <col min="14864" max="14864" width="19.42578125" style="277" customWidth="1"/>
    <col min="14865" max="14865" width="13.5703125" style="277" customWidth="1"/>
    <col min="14866" max="14866" width="24.5703125" style="277" customWidth="1"/>
    <col min="14867" max="14867" width="11.28515625" style="277" bestFit="1" customWidth="1"/>
    <col min="14868" max="15104" width="9.140625" style="277"/>
    <col min="15105" max="15105" width="64.5703125" style="277" customWidth="1"/>
    <col min="15106" max="15106" width="8.42578125" style="277" customWidth="1"/>
    <col min="15107" max="15107" width="9.7109375" style="277" bestFit="1" customWidth="1"/>
    <col min="15108" max="15108" width="3" style="277" customWidth="1"/>
    <col min="15109" max="15109" width="3.28515625" style="277" customWidth="1"/>
    <col min="15110" max="15111" width="2.85546875" style="277" customWidth="1"/>
    <col min="15112" max="15112" width="3" style="277" customWidth="1"/>
    <col min="15113" max="15113" width="2.5703125" style="277" customWidth="1"/>
    <col min="15114" max="15114" width="3" style="277" customWidth="1"/>
    <col min="15115" max="15115" width="2.7109375" style="277" customWidth="1"/>
    <col min="15116" max="15116" width="2.42578125" style="277" customWidth="1"/>
    <col min="15117" max="15117" width="13.85546875" style="277" bestFit="1" customWidth="1"/>
    <col min="15118" max="15118" width="9.140625" style="277"/>
    <col min="15119" max="15119" width="13.42578125" style="277" customWidth="1"/>
    <col min="15120" max="15120" width="19.42578125" style="277" customWidth="1"/>
    <col min="15121" max="15121" width="13.5703125" style="277" customWidth="1"/>
    <col min="15122" max="15122" width="24.5703125" style="277" customWidth="1"/>
    <col min="15123" max="15123" width="11.28515625" style="277" bestFit="1" customWidth="1"/>
    <col min="15124" max="15360" width="9.140625" style="277"/>
    <col min="15361" max="15361" width="64.5703125" style="277" customWidth="1"/>
    <col min="15362" max="15362" width="8.42578125" style="277" customWidth="1"/>
    <col min="15363" max="15363" width="9.7109375" style="277" bestFit="1" customWidth="1"/>
    <col min="15364" max="15364" width="3" style="277" customWidth="1"/>
    <col min="15365" max="15365" width="3.28515625" style="277" customWidth="1"/>
    <col min="15366" max="15367" width="2.85546875" style="277" customWidth="1"/>
    <col min="15368" max="15368" width="3" style="277" customWidth="1"/>
    <col min="15369" max="15369" width="2.5703125" style="277" customWidth="1"/>
    <col min="15370" max="15370" width="3" style="277" customWidth="1"/>
    <col min="15371" max="15371" width="2.7109375" style="277" customWidth="1"/>
    <col min="15372" max="15372" width="2.42578125" style="277" customWidth="1"/>
    <col min="15373" max="15373" width="13.85546875" style="277" bestFit="1" customWidth="1"/>
    <col min="15374" max="15374" width="9.140625" style="277"/>
    <col min="15375" max="15375" width="13.42578125" style="277" customWidth="1"/>
    <col min="15376" max="15376" width="19.42578125" style="277" customWidth="1"/>
    <col min="15377" max="15377" width="13.5703125" style="277" customWidth="1"/>
    <col min="15378" max="15378" width="24.5703125" style="277" customWidth="1"/>
    <col min="15379" max="15379" width="11.28515625" style="277" bestFit="1" customWidth="1"/>
    <col min="15380" max="15616" width="9.140625" style="277"/>
    <col min="15617" max="15617" width="64.5703125" style="277" customWidth="1"/>
    <col min="15618" max="15618" width="8.42578125" style="277" customWidth="1"/>
    <col min="15619" max="15619" width="9.7109375" style="277" bestFit="1" customWidth="1"/>
    <col min="15620" max="15620" width="3" style="277" customWidth="1"/>
    <col min="15621" max="15621" width="3.28515625" style="277" customWidth="1"/>
    <col min="15622" max="15623" width="2.85546875" style="277" customWidth="1"/>
    <col min="15624" max="15624" width="3" style="277" customWidth="1"/>
    <col min="15625" max="15625" width="2.5703125" style="277" customWidth="1"/>
    <col min="15626" max="15626" width="3" style="277" customWidth="1"/>
    <col min="15627" max="15627" width="2.7109375" style="277" customWidth="1"/>
    <col min="15628" max="15628" width="2.42578125" style="277" customWidth="1"/>
    <col min="15629" max="15629" width="13.85546875" style="277" bestFit="1" customWidth="1"/>
    <col min="15630" max="15630" width="9.140625" style="277"/>
    <col min="15631" max="15631" width="13.42578125" style="277" customWidth="1"/>
    <col min="15632" max="15632" width="19.42578125" style="277" customWidth="1"/>
    <col min="15633" max="15633" width="13.5703125" style="277" customWidth="1"/>
    <col min="15634" max="15634" width="24.5703125" style="277" customWidth="1"/>
    <col min="15635" max="15635" width="11.28515625" style="277" bestFit="1" customWidth="1"/>
    <col min="15636" max="15872" width="9.140625" style="277"/>
    <col min="15873" max="15873" width="64.5703125" style="277" customWidth="1"/>
    <col min="15874" max="15874" width="8.42578125" style="277" customWidth="1"/>
    <col min="15875" max="15875" width="9.7109375" style="277" bestFit="1" customWidth="1"/>
    <col min="15876" max="15876" width="3" style="277" customWidth="1"/>
    <col min="15877" max="15877" width="3.28515625" style="277" customWidth="1"/>
    <col min="15878" max="15879" width="2.85546875" style="277" customWidth="1"/>
    <col min="15880" max="15880" width="3" style="277" customWidth="1"/>
    <col min="15881" max="15881" width="2.5703125" style="277" customWidth="1"/>
    <col min="15882" max="15882" width="3" style="277" customWidth="1"/>
    <col min="15883" max="15883" width="2.7109375" style="277" customWidth="1"/>
    <col min="15884" max="15884" width="2.42578125" style="277" customWidth="1"/>
    <col min="15885" max="15885" width="13.85546875" style="277" bestFit="1" customWidth="1"/>
    <col min="15886" max="15886" width="9.140625" style="277"/>
    <col min="15887" max="15887" width="13.42578125" style="277" customWidth="1"/>
    <col min="15888" max="15888" width="19.42578125" style="277" customWidth="1"/>
    <col min="15889" max="15889" width="13.5703125" style="277" customWidth="1"/>
    <col min="15890" max="15890" width="24.5703125" style="277" customWidth="1"/>
    <col min="15891" max="15891" width="11.28515625" style="277" bestFit="1" customWidth="1"/>
    <col min="15892" max="16128" width="9.140625" style="277"/>
    <col min="16129" max="16129" width="64.5703125" style="277" customWidth="1"/>
    <col min="16130" max="16130" width="8.42578125" style="277" customWidth="1"/>
    <col min="16131" max="16131" width="9.7109375" style="277" bestFit="1" customWidth="1"/>
    <col min="16132" max="16132" width="3" style="277" customWidth="1"/>
    <col min="16133" max="16133" width="3.28515625" style="277" customWidth="1"/>
    <col min="16134" max="16135" width="2.85546875" style="277" customWidth="1"/>
    <col min="16136" max="16136" width="3" style="277" customWidth="1"/>
    <col min="16137" max="16137" width="2.5703125" style="277" customWidth="1"/>
    <col min="16138" max="16138" width="3" style="277" customWidth="1"/>
    <col min="16139" max="16139" width="2.7109375" style="277" customWidth="1"/>
    <col min="16140" max="16140" width="2.42578125" style="277" customWidth="1"/>
    <col min="16141" max="16141" width="13.85546875" style="277" bestFit="1" customWidth="1"/>
    <col min="16142" max="16142" width="9.140625" style="277"/>
    <col min="16143" max="16143" width="13.42578125" style="277" customWidth="1"/>
    <col min="16144" max="16144" width="19.42578125" style="277" customWidth="1"/>
    <col min="16145" max="16145" width="13.5703125" style="277" customWidth="1"/>
    <col min="16146" max="16146" width="24.5703125" style="277" customWidth="1"/>
    <col min="16147" max="16147" width="11.28515625" style="277" bestFit="1" customWidth="1"/>
    <col min="16148" max="16384" width="9.140625" style="277"/>
  </cols>
  <sheetData>
    <row r="1" spans="1:25" s="276" customFormat="1">
      <c r="A1" s="689" t="s">
        <v>606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</row>
    <row r="2" spans="1:25" s="276" customFormat="1">
      <c r="A2" s="689" t="str">
        <f>'10-1'!A2:G2</f>
        <v>วิทยาลัยนวัตกรรมการจัดการ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434" t="str">
        <f>ปก!B9</f>
        <v>กลุ่มสาขาวิชามนุษยศาสตร์และสังคมศาสตร์</v>
      </c>
    </row>
    <row r="3" spans="1:25" ht="19.5" thickBot="1">
      <c r="A3" s="690" t="str">
        <f>'10-1'!A3:G3</f>
        <v>(ใส่ชื่อสาขาต้องพิมพ์ ถ้าจัดทำในระดับสาขา ถ้าในระดับคณะหน่วยงานว่างไว้)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</row>
    <row r="4" spans="1:25" ht="27" customHeight="1" thickBot="1">
      <c r="A4" s="940" t="s">
        <v>441</v>
      </c>
      <c r="B4" s="941" t="s">
        <v>8</v>
      </c>
      <c r="C4" s="942" t="s">
        <v>442</v>
      </c>
      <c r="D4" s="942" t="s">
        <v>443</v>
      </c>
      <c r="E4" s="942"/>
      <c r="F4" s="942"/>
      <c r="G4" s="942"/>
      <c r="H4" s="942"/>
      <c r="I4" s="942"/>
      <c r="J4" s="942"/>
      <c r="K4" s="942"/>
      <c r="L4" s="942"/>
      <c r="M4" s="943" t="s">
        <v>0</v>
      </c>
      <c r="N4" s="943"/>
      <c r="O4" s="943"/>
      <c r="P4" s="944" t="s">
        <v>444</v>
      </c>
      <c r="Q4" s="945" t="s">
        <v>41</v>
      </c>
      <c r="R4" s="945" t="s">
        <v>10</v>
      </c>
    </row>
    <row r="5" spans="1:25" ht="29.25" customHeight="1" thickBot="1">
      <c r="A5" s="940"/>
      <c r="B5" s="942"/>
      <c r="C5" s="942"/>
      <c r="D5" s="451">
        <v>1</v>
      </c>
      <c r="E5" s="451">
        <v>2</v>
      </c>
      <c r="F5" s="451">
        <v>3</v>
      </c>
      <c r="G5" s="451">
        <v>4</v>
      </c>
      <c r="H5" s="451">
        <v>5</v>
      </c>
      <c r="I5" s="451">
        <v>6</v>
      </c>
      <c r="J5" s="451">
        <v>7</v>
      </c>
      <c r="K5" s="451">
        <v>8</v>
      </c>
      <c r="L5" s="451">
        <v>9</v>
      </c>
      <c r="M5" s="279" t="s">
        <v>445</v>
      </c>
      <c r="N5" s="279" t="s">
        <v>446</v>
      </c>
      <c r="O5" s="280" t="s">
        <v>447</v>
      </c>
      <c r="P5" s="944"/>
      <c r="Q5" s="945"/>
      <c r="R5" s="945"/>
    </row>
    <row r="6" spans="1:25" ht="21.75" thickBot="1">
      <c r="A6" s="281" t="s">
        <v>448</v>
      </c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4"/>
      <c r="N6" s="284"/>
      <c r="O6" s="284"/>
      <c r="P6" s="285"/>
      <c r="Q6" s="286" t="e">
        <f>AVERAGE(Q8:Q8)</f>
        <v>#DIV/0!</v>
      </c>
      <c r="R6" s="287"/>
    </row>
    <row r="7" spans="1:25" ht="23.25" hidden="1" customHeight="1" thickBot="1">
      <c r="A7" s="288" t="s">
        <v>575</v>
      </c>
      <c r="B7" s="289" t="s">
        <v>40</v>
      </c>
      <c r="C7" s="290"/>
      <c r="D7" s="458">
        <f>'1.1'!T10</f>
        <v>0</v>
      </c>
      <c r="E7" s="458">
        <f>'1.1'!U10</f>
        <v>0</v>
      </c>
      <c r="F7" s="458">
        <f>'1.1'!V10</f>
        <v>0</v>
      </c>
      <c r="G7" s="458">
        <f>'1.1'!W10</f>
        <v>0</v>
      </c>
      <c r="H7" s="458">
        <f>'1.1'!X10</f>
        <v>0</v>
      </c>
      <c r="I7" s="458">
        <f>'1.1'!Y10</f>
        <v>0</v>
      </c>
      <c r="J7" s="458">
        <f>'1.1'!Z10</f>
        <v>0</v>
      </c>
      <c r="K7" s="458">
        <f>'1.1'!AA10</f>
        <v>0</v>
      </c>
      <c r="L7" s="459"/>
      <c r="M7" s="292">
        <f>(D7+E7+F7+G7+H7+I7+J7+K7)</f>
        <v>0</v>
      </c>
      <c r="N7" s="460"/>
      <c r="O7" s="292">
        <f>M7</f>
        <v>0</v>
      </c>
      <c r="P7" s="293" t="str">
        <f>IF(O7 &gt;=C7,"ü",IF(O7&lt;C7,"û"))</f>
        <v>ü</v>
      </c>
      <c r="Q7" s="292"/>
      <c r="R7" s="294"/>
      <c r="W7" s="276"/>
      <c r="X7" s="461" t="s">
        <v>576</v>
      </c>
      <c r="Y7" s="462" t="e">
        <f>Q57</f>
        <v>#DIV/0!</v>
      </c>
    </row>
    <row r="8" spans="1:25" ht="21.75" thickBot="1">
      <c r="A8" s="295" t="s">
        <v>449</v>
      </c>
      <c r="B8" s="299" t="s">
        <v>39</v>
      </c>
      <c r="C8" s="296">
        <f>ส.1!C9</f>
        <v>0</v>
      </c>
      <c r="D8" s="300"/>
      <c r="E8" s="301"/>
      <c r="F8" s="301"/>
      <c r="G8" s="301"/>
      <c r="H8" s="301"/>
      <c r="I8" s="301"/>
      <c r="J8" s="301"/>
      <c r="K8" s="301"/>
      <c r="L8" s="301"/>
      <c r="M8" s="302">
        <f>'1-16.2'!S13</f>
        <v>0</v>
      </c>
      <c r="N8" s="414">
        <f>'1-16.2'!S12</f>
        <v>0</v>
      </c>
      <c r="O8" s="304" t="e">
        <f>M8/N8</f>
        <v>#DIV/0!</v>
      </c>
      <c r="P8" s="298" t="e">
        <f>IF(O8 &gt;=C8,"ü",IF(O8&lt;C8,"û"))</f>
        <v>#DIV/0!</v>
      </c>
      <c r="Q8" s="305" t="e">
        <f>O8</f>
        <v>#DIV/0!</v>
      </c>
      <c r="R8" s="294"/>
    </row>
    <row r="9" spans="1:25" ht="21.75" thickBot="1">
      <c r="A9" s="306" t="s">
        <v>450</v>
      </c>
      <c r="B9" s="307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9"/>
      <c r="N9" s="310"/>
      <c r="O9" s="310"/>
      <c r="P9" s="311"/>
      <c r="Q9" s="286" t="e">
        <f>AVERAGE(Q10:Q24)</f>
        <v>#DIV/0!</v>
      </c>
      <c r="R9" s="312"/>
    </row>
    <row r="10" spans="1:25" ht="21.75" hidden="1" thickBot="1">
      <c r="A10" s="313" t="s">
        <v>451</v>
      </c>
      <c r="B10" s="314" t="s">
        <v>40</v>
      </c>
      <c r="C10" s="290"/>
      <c r="D10" s="291">
        <f>'2.1'!T10</f>
        <v>0</v>
      </c>
      <c r="E10" s="291">
        <f>'2.1'!U10</f>
        <v>0</v>
      </c>
      <c r="F10" s="291">
        <f>'2.1'!V10</f>
        <v>0</v>
      </c>
      <c r="G10" s="291">
        <f>'2.1'!W10</f>
        <v>0</v>
      </c>
      <c r="H10" s="291">
        <f>'2.1'!X10</f>
        <v>0</v>
      </c>
      <c r="I10" s="291">
        <f>'2.1'!Y10</f>
        <v>0</v>
      </c>
      <c r="J10" s="315"/>
      <c r="K10" s="315"/>
      <c r="L10" s="315"/>
      <c r="M10" s="297">
        <f>(D10+E10+F10+G10+H10+I10)</f>
        <v>0</v>
      </c>
      <c r="N10" s="297"/>
      <c r="O10" s="297">
        <f>M10</f>
        <v>0</v>
      </c>
      <c r="P10" s="298" t="str">
        <f t="shared" ref="P10:P20" si="0">IF(O10 &gt;=C10,"ü",IF(O10&lt;C10,"û"))</f>
        <v>ü</v>
      </c>
      <c r="Q10" s="297"/>
      <c r="R10" s="294"/>
    </row>
    <row r="11" spans="1:25" ht="21.75" hidden="1" thickBot="1">
      <c r="A11" s="925" t="s">
        <v>452</v>
      </c>
      <c r="B11" s="316" t="s">
        <v>5</v>
      </c>
      <c r="C11" s="317"/>
      <c r="D11" s="927"/>
      <c r="E11" s="928"/>
      <c r="F11" s="928"/>
      <c r="G11" s="928"/>
      <c r="H11" s="928"/>
      <c r="I11" s="928"/>
      <c r="J11" s="928"/>
      <c r="K11" s="928"/>
      <c r="L11" s="929"/>
      <c r="M11" s="412">
        <f>'2.2'!F12</f>
        <v>0</v>
      </c>
      <c r="N11" s="412">
        <f>'2.2'!F11</f>
        <v>0</v>
      </c>
      <c r="O11" s="318" t="e">
        <f>(M11/N11)*100</f>
        <v>#DIV/0!</v>
      </c>
      <c r="P11" s="319" t="e">
        <f t="shared" si="0"/>
        <v>#DIV/0!</v>
      </c>
      <c r="Q11" s="936"/>
      <c r="R11" s="988"/>
      <c r="S11" s="431" t="e">
        <f>IF(O11&gt;=30,5,O11*5/30)</f>
        <v>#DIV/0!</v>
      </c>
    </row>
    <row r="12" spans="1:25" ht="21.75" hidden="1" thickBot="1">
      <c r="A12" s="926"/>
      <c r="B12" s="320" t="s">
        <v>453</v>
      </c>
      <c r="C12" s="321"/>
      <c r="D12" s="930"/>
      <c r="E12" s="931"/>
      <c r="F12" s="931"/>
      <c r="G12" s="931"/>
      <c r="H12" s="931"/>
      <c r="I12" s="931"/>
      <c r="J12" s="931"/>
      <c r="K12" s="931"/>
      <c r="L12" s="932"/>
      <c r="M12" s="322" t="e">
        <f>O11</f>
        <v>#DIV/0!</v>
      </c>
      <c r="N12" s="323" t="e">
        <f>'2.2'!F19</f>
        <v>#DIV/0!</v>
      </c>
      <c r="O12" s="304" t="e">
        <f>M12-N12</f>
        <v>#DIV/0!</v>
      </c>
      <c r="P12" s="298" t="e">
        <f t="shared" si="0"/>
        <v>#DIV/0!</v>
      </c>
      <c r="Q12" s="937"/>
      <c r="R12" s="989"/>
      <c r="S12" s="432" t="e">
        <f>IF(O12&gt;=6,5,IF(O12,(O12*5)/6,0))</f>
        <v>#DIV/0!</v>
      </c>
    </row>
    <row r="13" spans="1:25" ht="24" hidden="1" customHeight="1" thickBot="1">
      <c r="A13" s="925" t="s">
        <v>454</v>
      </c>
      <c r="B13" s="316" t="s">
        <v>5</v>
      </c>
      <c r="C13" s="317"/>
      <c r="D13" s="927"/>
      <c r="E13" s="928"/>
      <c r="F13" s="928"/>
      <c r="G13" s="928"/>
      <c r="H13" s="928"/>
      <c r="I13" s="928"/>
      <c r="J13" s="928"/>
      <c r="K13" s="928"/>
      <c r="L13" s="929"/>
      <c r="M13" s="303">
        <f>'2.3'!F12</f>
        <v>0</v>
      </c>
      <c r="N13" s="414">
        <f>'2.3'!F11</f>
        <v>0</v>
      </c>
      <c r="O13" s="304" t="e">
        <f>(M13/N13)*100</f>
        <v>#DIV/0!</v>
      </c>
      <c r="P13" s="298" t="e">
        <f t="shared" si="0"/>
        <v>#DIV/0!</v>
      </c>
      <c r="Q13" s="936"/>
      <c r="R13" s="986"/>
      <c r="S13" s="432" t="e">
        <f>IF(O13&gt;=60,5,IF(O13,(O13*5)/60,0))</f>
        <v>#DIV/0!</v>
      </c>
    </row>
    <row r="14" spans="1:25" ht="21.75" hidden="1" thickBot="1">
      <c r="A14" s="926"/>
      <c r="B14" s="320" t="s">
        <v>453</v>
      </c>
      <c r="C14" s="325"/>
      <c r="D14" s="930"/>
      <c r="E14" s="931"/>
      <c r="F14" s="931"/>
      <c r="G14" s="931"/>
      <c r="H14" s="931"/>
      <c r="I14" s="931"/>
      <c r="J14" s="931"/>
      <c r="K14" s="931"/>
      <c r="L14" s="932"/>
      <c r="M14" s="415" t="e">
        <f>O13</f>
        <v>#DIV/0!</v>
      </c>
      <c r="N14" s="416" t="e">
        <f>'2.3'!F19</f>
        <v>#DIV/0!</v>
      </c>
      <c r="O14" s="318" t="e">
        <f>M14-N14</f>
        <v>#DIV/0!</v>
      </c>
      <c r="P14" s="298" t="e">
        <f t="shared" si="0"/>
        <v>#DIV/0!</v>
      </c>
      <c r="Q14" s="937"/>
      <c r="R14" s="987"/>
      <c r="S14" s="432" t="e">
        <f>IF(O14&gt;=12,5,(O14*5/12))</f>
        <v>#DIV/0!</v>
      </c>
    </row>
    <row r="15" spans="1:25" ht="30.75" hidden="1" customHeight="1" thickBot="1">
      <c r="A15" s="288" t="s">
        <v>577</v>
      </c>
      <c r="B15" s="289" t="s">
        <v>40</v>
      </c>
      <c r="C15" s="290"/>
      <c r="D15" s="291">
        <f>'2.4'!R10</f>
        <v>0</v>
      </c>
      <c r="E15" s="291">
        <f>'2.4'!S10</f>
        <v>0</v>
      </c>
      <c r="F15" s="291">
        <f>'2.4'!T10</f>
        <v>0</v>
      </c>
      <c r="G15" s="291">
        <f>'2.4'!U10</f>
        <v>0</v>
      </c>
      <c r="H15" s="291">
        <f>'2.4'!V10</f>
        <v>0</v>
      </c>
      <c r="I15" s="291">
        <f>'2.4'!W10</f>
        <v>0</v>
      </c>
      <c r="J15" s="291">
        <f>'2.4'!X10</f>
        <v>0</v>
      </c>
      <c r="K15" s="459"/>
      <c r="L15" s="459"/>
      <c r="M15" s="292">
        <f>(D15+E15+F15+G15+H15+I15+J15)</f>
        <v>0</v>
      </c>
      <c r="N15" s="292"/>
      <c r="O15" s="292">
        <f>M15</f>
        <v>0</v>
      </c>
      <c r="P15" s="293" t="str">
        <f t="shared" si="0"/>
        <v>ü</v>
      </c>
      <c r="Q15" s="463"/>
      <c r="R15" s="464"/>
    </row>
    <row r="16" spans="1:25" ht="28.5" hidden="1" customHeight="1" thickBot="1">
      <c r="A16" s="288" t="s">
        <v>578</v>
      </c>
      <c r="B16" s="289" t="s">
        <v>40</v>
      </c>
      <c r="C16" s="326"/>
      <c r="D16" s="327" t="str">
        <f>'2.5'!R8</f>
        <v>ข้อ1</v>
      </c>
      <c r="E16" s="327" t="str">
        <f>'[1]2.5'!S8</f>
        <v>ข้อ2</v>
      </c>
      <c r="F16" s="327" t="str">
        <f>'[1]2.5'!T8</f>
        <v>ข้อ3</v>
      </c>
      <c r="G16" s="327" t="str">
        <f>'[1]2.5'!U8</f>
        <v>ข้อ4</v>
      </c>
      <c r="H16" s="327" t="str">
        <f>'[1]2.5'!V8</f>
        <v>ข้อ5</v>
      </c>
      <c r="I16" s="327" t="str">
        <f>'[1]2.5'!W8</f>
        <v>ข้อ6</v>
      </c>
      <c r="J16" s="327" t="str">
        <f>'[1]2.5'!X8</f>
        <v>ข้อ7</v>
      </c>
      <c r="K16" s="328"/>
      <c r="L16" s="328"/>
      <c r="M16" s="292" t="e">
        <f>(D16+E16+F16+G16+H16+I16+J16)</f>
        <v>#VALUE!</v>
      </c>
      <c r="N16" s="297"/>
      <c r="O16" s="292" t="e">
        <f>M16</f>
        <v>#VALUE!</v>
      </c>
      <c r="P16" s="293" t="e">
        <f t="shared" si="0"/>
        <v>#VALUE!</v>
      </c>
      <c r="Q16" s="292"/>
      <c r="R16" s="294"/>
    </row>
    <row r="17" spans="1:20" ht="30.75" hidden="1" customHeight="1" thickBot="1">
      <c r="A17" s="288" t="s">
        <v>455</v>
      </c>
      <c r="B17" s="289" t="s">
        <v>40</v>
      </c>
      <c r="C17" s="326"/>
      <c r="D17" s="327">
        <f>'2.6'!R10</f>
        <v>0</v>
      </c>
      <c r="E17" s="327">
        <f>'2.6'!S10</f>
        <v>0</v>
      </c>
      <c r="F17" s="327">
        <f>'2.6'!T10</f>
        <v>0</v>
      </c>
      <c r="G17" s="327">
        <f>'2.6'!U10</f>
        <v>0</v>
      </c>
      <c r="H17" s="327">
        <f>'2.6'!V10</f>
        <v>0</v>
      </c>
      <c r="I17" s="327">
        <f>'2.6'!W10</f>
        <v>0</v>
      </c>
      <c r="J17" s="327">
        <f>'2.6'!X10</f>
        <v>0</v>
      </c>
      <c r="K17" s="328"/>
      <c r="L17" s="328"/>
      <c r="M17" s="292">
        <f>(D17+E17+F17+G17+H17+I17+J17)</f>
        <v>0</v>
      </c>
      <c r="N17" s="297"/>
      <c r="O17" s="292">
        <f>M17</f>
        <v>0</v>
      </c>
      <c r="P17" s="293" t="str">
        <f t="shared" si="0"/>
        <v>ü</v>
      </c>
      <c r="Q17" s="292"/>
      <c r="R17" s="294"/>
    </row>
    <row r="18" spans="1:20" ht="21.75" hidden="1" thickBot="1">
      <c r="A18" s="452" t="s">
        <v>456</v>
      </c>
      <c r="B18" s="330" t="s">
        <v>40</v>
      </c>
      <c r="C18" s="326"/>
      <c r="D18" s="327">
        <f>'2.7'!T10</f>
        <v>0</v>
      </c>
      <c r="E18" s="327">
        <f>'2.7'!U10</f>
        <v>0</v>
      </c>
      <c r="F18" s="327">
        <f>'2.7'!V10</f>
        <v>0</v>
      </c>
      <c r="G18" s="327">
        <f>'2.7'!W10</f>
        <v>0</v>
      </c>
      <c r="H18" s="327">
        <f>'2.7'!X10</f>
        <v>0</v>
      </c>
      <c r="I18" s="331"/>
      <c r="J18" s="331"/>
      <c r="K18" s="331"/>
      <c r="L18" s="331"/>
      <c r="M18" s="292">
        <f>(D18+E18+F18+G18+H18)</f>
        <v>0</v>
      </c>
      <c r="N18" s="297"/>
      <c r="O18" s="292">
        <f>M18</f>
        <v>0</v>
      </c>
      <c r="P18" s="293" t="str">
        <f t="shared" si="0"/>
        <v>ü</v>
      </c>
      <c r="Q18" s="292"/>
      <c r="R18" s="294"/>
    </row>
    <row r="19" spans="1:20" ht="21.75" thickBot="1">
      <c r="A19" s="452" t="s">
        <v>579</v>
      </c>
      <c r="B19" s="330" t="s">
        <v>5</v>
      </c>
      <c r="C19" s="326">
        <f>ส.1!C22</f>
        <v>0</v>
      </c>
      <c r="D19" s="915"/>
      <c r="E19" s="916"/>
      <c r="F19" s="916"/>
      <c r="G19" s="916"/>
      <c r="H19" s="916"/>
      <c r="I19" s="916"/>
      <c r="J19" s="916"/>
      <c r="K19" s="916"/>
      <c r="L19" s="917"/>
      <c r="M19" s="332">
        <f>'2-1'!Q13</f>
        <v>0</v>
      </c>
      <c r="N19" s="332">
        <f>'2-1'!Q12</f>
        <v>0</v>
      </c>
      <c r="O19" s="333" t="e">
        <f>(M19/N19)*100</f>
        <v>#DIV/0!</v>
      </c>
      <c r="P19" s="293" t="e">
        <f t="shared" si="0"/>
        <v>#DIV/0!</v>
      </c>
      <c r="Q19" s="334" t="e">
        <f>IF(O19&gt;=100,5,IF(O19,(O19*5)/100,0))</f>
        <v>#DIV/0!</v>
      </c>
      <c r="R19" s="294"/>
    </row>
    <row r="20" spans="1:20" ht="42.75" thickBot="1">
      <c r="A20" s="452" t="s">
        <v>457</v>
      </c>
      <c r="B20" s="330" t="s">
        <v>39</v>
      </c>
      <c r="C20" s="326">
        <f>ส.1!C23</f>
        <v>0</v>
      </c>
      <c r="D20" s="915"/>
      <c r="E20" s="916"/>
      <c r="F20" s="916"/>
      <c r="G20" s="916"/>
      <c r="H20" s="916"/>
      <c r="I20" s="916"/>
      <c r="J20" s="916"/>
      <c r="K20" s="916"/>
      <c r="L20" s="917"/>
      <c r="M20" s="335">
        <f>'2-2'!Q14</f>
        <v>0</v>
      </c>
      <c r="N20" s="332">
        <f>'2-2'!Q13</f>
        <v>0</v>
      </c>
      <c r="O20" s="333" t="e">
        <f>M20/N20</f>
        <v>#DIV/0!</v>
      </c>
      <c r="P20" s="293" t="e">
        <f t="shared" si="0"/>
        <v>#DIV/0!</v>
      </c>
      <c r="Q20" s="334" t="e">
        <f>O20</f>
        <v>#DIV/0!</v>
      </c>
      <c r="R20" s="294"/>
    </row>
    <row r="21" spans="1:20" ht="42.75" hidden="1" thickBot="1">
      <c r="A21" s="452" t="s">
        <v>458</v>
      </c>
      <c r="B21" s="330" t="s">
        <v>5</v>
      </c>
      <c r="C21" s="336"/>
      <c r="D21" s="915"/>
      <c r="E21" s="916"/>
      <c r="F21" s="916"/>
      <c r="G21" s="916"/>
      <c r="H21" s="916"/>
      <c r="I21" s="916"/>
      <c r="J21" s="916"/>
      <c r="K21" s="916"/>
      <c r="L21" s="917"/>
      <c r="M21" s="337"/>
      <c r="N21" s="337"/>
      <c r="O21" s="304"/>
      <c r="P21" s="298"/>
      <c r="Q21" s="324"/>
      <c r="R21" s="294"/>
    </row>
    <row r="22" spans="1:20" ht="21.75" hidden="1" thickBot="1">
      <c r="A22" s="338" t="s">
        <v>459</v>
      </c>
      <c r="B22" s="330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7"/>
      <c r="N22" s="337"/>
      <c r="O22" s="304"/>
      <c r="P22" s="298"/>
      <c r="Q22" s="324"/>
      <c r="R22" s="294"/>
    </row>
    <row r="23" spans="1:20" ht="42.75" hidden="1" thickBot="1">
      <c r="A23" s="452" t="s">
        <v>580</v>
      </c>
      <c r="B23" s="330" t="s">
        <v>5</v>
      </c>
      <c r="C23" s="326"/>
      <c r="D23" s="915"/>
      <c r="E23" s="916"/>
      <c r="F23" s="916"/>
      <c r="G23" s="916"/>
      <c r="H23" s="916"/>
      <c r="I23" s="916"/>
      <c r="J23" s="916"/>
      <c r="K23" s="916"/>
      <c r="L23" s="917"/>
      <c r="M23" s="332">
        <f>'2-3'!T12</f>
        <v>0</v>
      </c>
      <c r="N23" s="332">
        <f>'2-3'!T13</f>
        <v>0</v>
      </c>
      <c r="O23" s="333" t="e">
        <f>M23*100/N23</f>
        <v>#DIV/0!</v>
      </c>
      <c r="P23" s="293" t="e">
        <f t="shared" ref="P23" si="1">IF(O23 &gt;=C23,"ü",IF(O23&lt;C23,"û"))</f>
        <v>#DIV/0!</v>
      </c>
      <c r="Q23" s="334"/>
      <c r="R23" s="294"/>
    </row>
    <row r="24" spans="1:20" ht="21.75" thickBot="1">
      <c r="A24" s="288" t="s">
        <v>460</v>
      </c>
      <c r="B24" s="289" t="s">
        <v>461</v>
      </c>
      <c r="C24" s="336">
        <f>ส.1!C26</f>
        <v>0</v>
      </c>
      <c r="D24" s="915"/>
      <c r="E24" s="916"/>
      <c r="F24" s="916"/>
      <c r="G24" s="916"/>
      <c r="H24" s="916"/>
      <c r="I24" s="916"/>
      <c r="J24" s="916"/>
      <c r="K24" s="916"/>
      <c r="L24" s="917"/>
      <c r="M24" s="412">
        <f>'2-14'!S12</f>
        <v>0</v>
      </c>
      <c r="N24" s="412">
        <f>'2-14'!S11</f>
        <v>0</v>
      </c>
      <c r="O24" s="304" t="e">
        <f>M24/N24</f>
        <v>#DIV/0!</v>
      </c>
      <c r="P24" s="298" t="e">
        <f>IF(O24 &gt;=C24,"ü",IF(O24&lt;C24,"û"))</f>
        <v>#DIV/0!</v>
      </c>
      <c r="Q24" s="324" t="e">
        <f>IF(O24&gt;=6,5,IF(O24,(O24*5)/6,0))</f>
        <v>#DIV/0!</v>
      </c>
      <c r="R24" s="294"/>
    </row>
    <row r="25" spans="1:20" ht="21.75" hidden="1" thickBot="1">
      <c r="A25" s="306" t="s">
        <v>581</v>
      </c>
      <c r="B25" s="307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10"/>
      <c r="N25" s="310"/>
      <c r="O25" s="310"/>
      <c r="P25" s="311"/>
      <c r="Q25" s="286" t="e">
        <f>AVERAGE(Q26:Q27)</f>
        <v>#DIV/0!</v>
      </c>
      <c r="R25" s="339"/>
    </row>
    <row r="26" spans="1:20" ht="21.75" hidden="1" thickBot="1">
      <c r="A26" s="313" t="s">
        <v>582</v>
      </c>
      <c r="B26" s="314" t="s">
        <v>40</v>
      </c>
      <c r="C26" s="336"/>
      <c r="D26" s="340">
        <f>'3.1'!T10</f>
        <v>0</v>
      </c>
      <c r="E26" s="340">
        <f>'3.1'!U10</f>
        <v>0</v>
      </c>
      <c r="F26" s="340">
        <f>'3.1'!V10</f>
        <v>0</v>
      </c>
      <c r="G26" s="340">
        <f>'3.1'!W10</f>
        <v>0</v>
      </c>
      <c r="H26" s="340">
        <f>'3.1'!X10</f>
        <v>0</v>
      </c>
      <c r="I26" s="340">
        <f>'3.1'!Y10</f>
        <v>0</v>
      </c>
      <c r="J26" s="340">
        <f>'3.1'!Z10</f>
        <v>0</v>
      </c>
      <c r="K26" s="331"/>
      <c r="L26" s="331"/>
      <c r="M26" s="297">
        <f>(D26+E26+F26+G26+H26+I26+J26)</f>
        <v>0</v>
      </c>
      <c r="N26" s="297"/>
      <c r="O26" s="297">
        <f>M26</f>
        <v>0</v>
      </c>
      <c r="P26" s="298" t="str">
        <f>IF(O26 &gt;=C26,"ü",IF(O26&lt;C26,"û"))</f>
        <v>ü</v>
      </c>
      <c r="Q26" s="297"/>
      <c r="R26" s="465"/>
    </row>
    <row r="27" spans="1:20" ht="26.25" hidden="1" customHeight="1" thickBot="1">
      <c r="A27" s="313" t="s">
        <v>583</v>
      </c>
      <c r="B27" s="314" t="s">
        <v>40</v>
      </c>
      <c r="C27" s="326"/>
      <c r="D27" s="327">
        <f>'3.2'!T10</f>
        <v>0</v>
      </c>
      <c r="E27" s="327">
        <f>'3.2'!U10</f>
        <v>0</v>
      </c>
      <c r="F27" s="327">
        <f>'3.2'!V10</f>
        <v>0</v>
      </c>
      <c r="G27" s="327">
        <f>'3.2'!W10</f>
        <v>0</v>
      </c>
      <c r="H27" s="327">
        <f>'3.2'!X10</f>
        <v>0</v>
      </c>
      <c r="I27" s="327">
        <f>'3.2'!Y10</f>
        <v>0</v>
      </c>
      <c r="J27" s="328"/>
      <c r="K27" s="328"/>
      <c r="L27" s="328"/>
      <c r="M27" s="292">
        <f>(D27+E27+F27+G27+H27+I27)</f>
        <v>0</v>
      </c>
      <c r="N27" s="292"/>
      <c r="O27" s="292">
        <f>M27</f>
        <v>0</v>
      </c>
      <c r="P27" s="293" t="str">
        <f>IF(O27 &gt;=C27,"ü",IF(O27&lt;C27,"û"))</f>
        <v>ü</v>
      </c>
      <c r="Q27" s="292"/>
      <c r="R27" s="465"/>
    </row>
    <row r="28" spans="1:20" ht="21.75" thickBot="1">
      <c r="A28" s="341" t="s">
        <v>462</v>
      </c>
      <c r="B28" s="307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10"/>
      <c r="N28" s="310"/>
      <c r="O28" s="310"/>
      <c r="P28" s="311"/>
      <c r="Q28" s="286" t="e">
        <f>AVERAGE(Q31:Q34)</f>
        <v>#DIV/0!</v>
      </c>
      <c r="R28" s="339"/>
      <c r="T28" s="348"/>
    </row>
    <row r="29" spans="1:20" ht="22.5" hidden="1" customHeight="1" thickBot="1">
      <c r="A29" s="313" t="s">
        <v>584</v>
      </c>
      <c r="B29" s="314" t="s">
        <v>40</v>
      </c>
      <c r="C29" s="326"/>
      <c r="D29" s="327">
        <f>'4.1'!T10</f>
        <v>0</v>
      </c>
      <c r="E29" s="327">
        <f>'4.1'!U10</f>
        <v>0</v>
      </c>
      <c r="F29" s="327">
        <f>'4.1'!V10</f>
        <v>0</v>
      </c>
      <c r="G29" s="327">
        <f>'4.1'!W10</f>
        <v>0</v>
      </c>
      <c r="H29" s="327">
        <f>'4.1'!X10</f>
        <v>0</v>
      </c>
      <c r="I29" s="327">
        <f>'4.1'!Y10</f>
        <v>0</v>
      </c>
      <c r="J29" s="327">
        <f>'4.1'!Z10</f>
        <v>0</v>
      </c>
      <c r="K29" s="327">
        <f>'4.1'!AA10</f>
        <v>0</v>
      </c>
      <c r="L29" s="328"/>
      <c r="M29" s="297">
        <f>(D29+E29+F29+G29+H29+I29+J29+K29)</f>
        <v>0</v>
      </c>
      <c r="N29" s="297"/>
      <c r="O29" s="297">
        <f>M29</f>
        <v>0</v>
      </c>
      <c r="P29" s="298" t="str">
        <f t="shared" ref="P29:P30" si="2">IF(O29 &gt;=C29,"ü",IF(O29&lt;C29,"û"))</f>
        <v>ü</v>
      </c>
      <c r="Q29" s="297"/>
      <c r="R29" s="294"/>
    </row>
    <row r="30" spans="1:20" ht="21.75" hidden="1" customHeight="1" thickBot="1">
      <c r="A30" s="313" t="s">
        <v>585</v>
      </c>
      <c r="B30" s="314" t="s">
        <v>40</v>
      </c>
      <c r="C30" s="336"/>
      <c r="D30" s="340">
        <f>'4.2'!T10</f>
        <v>0</v>
      </c>
      <c r="E30" s="340">
        <f>'4.2'!U10</f>
        <v>0</v>
      </c>
      <c r="F30" s="340">
        <f>'4.2'!V10</f>
        <v>0</v>
      </c>
      <c r="G30" s="340">
        <f>'4.2'!W10</f>
        <v>0</v>
      </c>
      <c r="H30" s="340">
        <f>'4.2'!X10</f>
        <v>0</v>
      </c>
      <c r="I30" s="331"/>
      <c r="J30" s="331"/>
      <c r="K30" s="331"/>
      <c r="L30" s="331"/>
      <c r="M30" s="297">
        <f>(D30+E30+F30+G30+H30)</f>
        <v>0</v>
      </c>
      <c r="N30" s="297"/>
      <c r="O30" s="297">
        <f>M30</f>
        <v>0</v>
      </c>
      <c r="P30" s="298" t="str">
        <f t="shared" si="2"/>
        <v>ü</v>
      </c>
      <c r="Q30" s="297"/>
      <c r="R30" s="294"/>
    </row>
    <row r="31" spans="1:20" ht="19.5" hidden="1" customHeight="1" thickBot="1">
      <c r="A31" s="342" t="s">
        <v>463</v>
      </c>
      <c r="B31" s="343" t="s">
        <v>39</v>
      </c>
      <c r="C31" s="344"/>
      <c r="D31" s="918"/>
      <c r="E31" s="919"/>
      <c r="F31" s="919"/>
      <c r="G31" s="919"/>
      <c r="H31" s="919"/>
      <c r="I31" s="919"/>
      <c r="J31" s="919"/>
      <c r="K31" s="919"/>
      <c r="L31" s="920"/>
      <c r="M31" s="345">
        <f>'4.3'!F16</f>
        <v>0</v>
      </c>
      <c r="N31" s="413">
        <f>'4.3'!F12</f>
        <v>0</v>
      </c>
      <c r="O31" s="346" t="e">
        <f>M31/N31</f>
        <v>#DIV/0!</v>
      </c>
      <c r="P31" s="293" t="e">
        <f>IF(O31 &gt;=C31,"ü",IF(O31&lt;C31,"û"))</f>
        <v>#DIV/0!</v>
      </c>
      <c r="Q31" s="347"/>
      <c r="R31" s="435"/>
      <c r="S31" s="436">
        <f>IF(S2="กลุ่มสาขาวิชาวิทยาศาสตร์และเทคโนโลยี",60000,25000)</f>
        <v>25000</v>
      </c>
    </row>
    <row r="32" spans="1:20" ht="21.75" thickBot="1">
      <c r="A32" s="313" t="s">
        <v>464</v>
      </c>
      <c r="B32" s="314" t="s">
        <v>39</v>
      </c>
      <c r="C32" s="336">
        <f>ส.1!C34</f>
        <v>0</v>
      </c>
      <c r="D32" s="915"/>
      <c r="E32" s="916"/>
      <c r="F32" s="916"/>
      <c r="G32" s="916"/>
      <c r="H32" s="916"/>
      <c r="I32" s="916"/>
      <c r="J32" s="916"/>
      <c r="K32" s="916"/>
      <c r="L32" s="917"/>
      <c r="M32" s="337">
        <f>'4-5'!Q16</f>
        <v>0</v>
      </c>
      <c r="N32" s="337">
        <f>'4-5'!Q12</f>
        <v>0</v>
      </c>
      <c r="O32" s="349" t="e">
        <f>(M32/N32)*100</f>
        <v>#DIV/0!</v>
      </c>
      <c r="P32" s="298" t="e">
        <f t="shared" ref="P32:P34" si="3">IF(O32 &gt;=C32,"ü",IF(O32&lt;C32,"û"))</f>
        <v>#DIV/0!</v>
      </c>
      <c r="Q32" s="305" t="e">
        <f>IF(O32&gt;=S32,5,IF(O32,(O32*5)/S32,0))</f>
        <v>#DIV/0!</v>
      </c>
      <c r="R32" s="435"/>
      <c r="S32" s="436">
        <f>IF(S2="กลุ่มสาขาวิชาวิทยาศาสตร์และเทคโนโลยี",20,10)</f>
        <v>10</v>
      </c>
    </row>
    <row r="33" spans="1:18" ht="21.75" thickBot="1">
      <c r="A33" s="313" t="s">
        <v>465</v>
      </c>
      <c r="B33" s="314" t="s">
        <v>5</v>
      </c>
      <c r="C33" s="336">
        <f>ส.1!C35</f>
        <v>0</v>
      </c>
      <c r="D33" s="915"/>
      <c r="E33" s="916"/>
      <c r="F33" s="916"/>
      <c r="G33" s="916"/>
      <c r="H33" s="916"/>
      <c r="I33" s="916"/>
      <c r="J33" s="916"/>
      <c r="K33" s="916"/>
      <c r="L33" s="917"/>
      <c r="M33" s="337">
        <f>'4-6'!Q13</f>
        <v>0</v>
      </c>
      <c r="N33" s="337">
        <f>'4-6'!Q12</f>
        <v>0</v>
      </c>
      <c r="O33" s="349" t="e">
        <f>(M33*100)/N33</f>
        <v>#DIV/0!</v>
      </c>
      <c r="P33" s="298" t="e">
        <f t="shared" si="3"/>
        <v>#DIV/0!</v>
      </c>
      <c r="Q33" s="305" t="e">
        <f>IF(O33&gt;=20,5,IF(O33,(O33*5)/20,0))</f>
        <v>#DIV/0!</v>
      </c>
      <c r="R33" s="294"/>
    </row>
    <row r="34" spans="1:18" ht="21.75" thickBot="1">
      <c r="A34" s="313" t="s">
        <v>466</v>
      </c>
      <c r="B34" s="314" t="s">
        <v>5</v>
      </c>
      <c r="C34" s="336">
        <f>ส.1!C36</f>
        <v>0</v>
      </c>
      <c r="D34" s="915"/>
      <c r="E34" s="916"/>
      <c r="F34" s="916"/>
      <c r="G34" s="916"/>
      <c r="H34" s="916"/>
      <c r="I34" s="916"/>
      <c r="J34" s="916"/>
      <c r="K34" s="916"/>
      <c r="L34" s="917"/>
      <c r="M34" s="412">
        <f>'4-7'!Q13</f>
        <v>0</v>
      </c>
      <c r="N34" s="337">
        <f>'4-7'!Q12</f>
        <v>0</v>
      </c>
      <c r="O34" s="349" t="e">
        <f>(M34/N34)*100</f>
        <v>#DIV/0!</v>
      </c>
      <c r="P34" s="298" t="e">
        <f t="shared" si="3"/>
        <v>#DIV/0!</v>
      </c>
      <c r="Q34" s="305" t="e">
        <f>IF(O34&gt;=10,5,IF(O34,(O34*5)/10,0))</f>
        <v>#DIV/0!</v>
      </c>
      <c r="R34" s="294"/>
    </row>
    <row r="35" spans="1:18" ht="21.75" thickBot="1">
      <c r="A35" s="306" t="s">
        <v>467</v>
      </c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10"/>
      <c r="N35" s="310"/>
      <c r="O35" s="310"/>
      <c r="P35" s="311"/>
      <c r="Q35" s="286">
        <f>AVERAGE(Q38:Q38)</f>
        <v>0</v>
      </c>
      <c r="R35" s="339"/>
    </row>
    <row r="36" spans="1:18" ht="21.75" hidden="1" thickBot="1">
      <c r="A36" s="313" t="s">
        <v>586</v>
      </c>
      <c r="B36" s="314" t="s">
        <v>40</v>
      </c>
      <c r="C36" s="336"/>
      <c r="D36" s="340">
        <f>'5.1'!T10</f>
        <v>0</v>
      </c>
      <c r="E36" s="340">
        <f>'5.1'!U10</f>
        <v>0</v>
      </c>
      <c r="F36" s="340">
        <f>'5.1'!V10</f>
        <v>0</v>
      </c>
      <c r="G36" s="340">
        <f>'5.1'!W10</f>
        <v>0</v>
      </c>
      <c r="H36" s="340">
        <f>'5.1'!X10</f>
        <v>0</v>
      </c>
      <c r="I36" s="331"/>
      <c r="J36" s="331"/>
      <c r="K36" s="331"/>
      <c r="L36" s="331"/>
      <c r="M36" s="297">
        <f>(D36+E36+F36+G36+H36)</f>
        <v>0</v>
      </c>
      <c r="N36" s="297"/>
      <c r="O36" s="297">
        <f>M36</f>
        <v>0</v>
      </c>
      <c r="P36" s="298" t="str">
        <f t="shared" ref="P36:P41" si="4">IF(O36 &gt;=C36,"ü",IF(O36&lt;C36,"û"))</f>
        <v>ü</v>
      </c>
      <c r="Q36" s="297"/>
      <c r="R36" s="294"/>
    </row>
    <row r="37" spans="1:18" ht="21.75" hidden="1" thickBot="1">
      <c r="A37" s="313" t="s">
        <v>587</v>
      </c>
      <c r="B37" s="314" t="s">
        <v>40</v>
      </c>
      <c r="C37" s="336"/>
      <c r="D37" s="340">
        <f>'5.2'!T10</f>
        <v>0</v>
      </c>
      <c r="E37" s="340">
        <f>'5.2'!U10</f>
        <v>0</v>
      </c>
      <c r="F37" s="340">
        <f>'5.2'!V10</f>
        <v>0</v>
      </c>
      <c r="G37" s="340">
        <f>'5.2'!W10</f>
        <v>0</v>
      </c>
      <c r="H37" s="340">
        <f>'5.2'!X10</f>
        <v>0</v>
      </c>
      <c r="I37" s="331"/>
      <c r="J37" s="331"/>
      <c r="K37" s="331"/>
      <c r="L37" s="331"/>
      <c r="M37" s="297">
        <f>(D37+E37+F37+G37+H37)</f>
        <v>0</v>
      </c>
      <c r="N37" s="297"/>
      <c r="O37" s="297">
        <f>M37</f>
        <v>0</v>
      </c>
      <c r="P37" s="298" t="str">
        <f t="shared" si="4"/>
        <v>ü</v>
      </c>
      <c r="Q37" s="297"/>
      <c r="R37" s="294"/>
    </row>
    <row r="38" spans="1:18" ht="42.75" thickBot="1">
      <c r="A38" s="295" t="s">
        <v>468</v>
      </c>
      <c r="B38" s="330" t="s">
        <v>5</v>
      </c>
      <c r="C38" s="326">
        <f>ส.1!C40</f>
        <v>0</v>
      </c>
      <c r="D38" s="915"/>
      <c r="E38" s="916"/>
      <c r="F38" s="916"/>
      <c r="G38" s="916"/>
      <c r="H38" s="916"/>
      <c r="I38" s="916"/>
      <c r="J38" s="916"/>
      <c r="K38" s="916"/>
      <c r="L38" s="917"/>
      <c r="M38" s="332" t="str">
        <f>'5-8'!S13</f>
        <v>No 2 legs</v>
      </c>
      <c r="N38" s="335">
        <f>'5-8'!S12</f>
        <v>0</v>
      </c>
      <c r="O38" s="333">
        <f>IF(M38="No 2 legs",0,(M38/N38)*100)</f>
        <v>0</v>
      </c>
      <c r="P38" s="293" t="str">
        <f t="shared" si="4"/>
        <v>ü</v>
      </c>
      <c r="Q38" s="347">
        <f>IF(O38&gt;=30,5,IF(O38,(O38*5)/30,0))</f>
        <v>0</v>
      </c>
      <c r="R38" s="294"/>
    </row>
    <row r="39" spans="1:18" ht="21" customHeight="1" thickBot="1">
      <c r="A39" s="469" t="s">
        <v>588</v>
      </c>
      <c r="B39" s="470" t="s">
        <v>40</v>
      </c>
      <c r="C39" s="471">
        <f>ส.1!C41</f>
        <v>0</v>
      </c>
      <c r="D39" s="472">
        <f>'5-9'!T10</f>
        <v>0</v>
      </c>
      <c r="E39" s="472">
        <f>'5-9'!U10</f>
        <v>0</v>
      </c>
      <c r="F39" s="472">
        <f>'5-9'!V10</f>
        <v>0</v>
      </c>
      <c r="G39" s="472">
        <f>'5-9'!W10</f>
        <v>0</v>
      </c>
      <c r="H39" s="472">
        <f>'5-9'!X10</f>
        <v>0</v>
      </c>
      <c r="I39" s="473"/>
      <c r="J39" s="473"/>
      <c r="K39" s="473"/>
      <c r="L39" s="473"/>
      <c r="M39" s="474">
        <f>(D39+E39+F39+G39+H39)</f>
        <v>0</v>
      </c>
      <c r="N39" s="474"/>
      <c r="O39" s="474">
        <f>M39</f>
        <v>0</v>
      </c>
      <c r="P39" s="475" t="str">
        <f t="shared" si="4"/>
        <v>ü</v>
      </c>
      <c r="Q39" s="476">
        <f>IF(O39&gt;4,5,IF(O39&gt;3,4,IF(O39&gt;2,3,IF(O39&gt;1,2,IF(O39&gt;0,1,0)))))</f>
        <v>0</v>
      </c>
      <c r="R39" s="350"/>
    </row>
    <row r="40" spans="1:18" ht="21.75" thickBot="1">
      <c r="A40" s="295" t="s">
        <v>589</v>
      </c>
      <c r="B40" s="314" t="s">
        <v>39</v>
      </c>
      <c r="C40" s="336">
        <f>ส.1!C42</f>
        <v>0</v>
      </c>
      <c r="D40" s="477">
        <f>'5-18.1'!T10</f>
        <v>0</v>
      </c>
      <c r="E40" s="477">
        <f>'5-18.1'!U10</f>
        <v>0</v>
      </c>
      <c r="F40" s="477">
        <f>'5-18.1'!V10</f>
        <v>0</v>
      </c>
      <c r="G40" s="477">
        <f>'5-18.1'!W10</f>
        <v>0</v>
      </c>
      <c r="H40" s="477">
        <f>'5-18.1'!X10</f>
        <v>0</v>
      </c>
      <c r="I40" s="478"/>
      <c r="J40" s="478"/>
      <c r="K40" s="478"/>
      <c r="L40" s="479"/>
      <c r="M40" s="480">
        <f>(D40+E40+F40+G40+H40)</f>
        <v>0</v>
      </c>
      <c r="N40" s="480"/>
      <c r="O40" s="297">
        <f>M40</f>
        <v>0</v>
      </c>
      <c r="P40" s="298" t="str">
        <f t="shared" si="4"/>
        <v>ü</v>
      </c>
      <c r="Q40" s="297">
        <f>IF(O40&gt;3,5,IF(O40&gt;2,4,IF(O40&gt;1,3,IF(O40=1,2,IF(O40=0,1,0)))))</f>
        <v>1</v>
      </c>
      <c r="R40" s="294"/>
    </row>
    <row r="41" spans="1:18" ht="21.75" thickBot="1">
      <c r="A41" s="295" t="s">
        <v>590</v>
      </c>
      <c r="B41" s="314" t="s">
        <v>39</v>
      </c>
      <c r="C41" s="336">
        <f>ส.1!C43</f>
        <v>0</v>
      </c>
      <c r="D41" s="477">
        <f>'5-18.2'!T10</f>
        <v>0</v>
      </c>
      <c r="E41" s="477">
        <f>'5-18.2'!U10</f>
        <v>0</v>
      </c>
      <c r="F41" s="477">
        <f>'5-18.2'!V10</f>
        <v>0</v>
      </c>
      <c r="G41" s="477">
        <f>'5-18.2'!W10</f>
        <v>0</v>
      </c>
      <c r="H41" s="477">
        <f>'5-18.2'!X10</f>
        <v>0</v>
      </c>
      <c r="I41" s="478"/>
      <c r="J41" s="478"/>
      <c r="K41" s="478"/>
      <c r="L41" s="479"/>
      <c r="M41" s="480">
        <f>(D41+E41+F41+G41+H41)</f>
        <v>0</v>
      </c>
      <c r="N41" s="480"/>
      <c r="O41" s="297">
        <f>M41</f>
        <v>0</v>
      </c>
      <c r="P41" s="298" t="str">
        <f t="shared" si="4"/>
        <v>ü</v>
      </c>
      <c r="Q41" s="297">
        <f>IF(O41&gt;3,5,IF(O41&gt;2,4,IF(O41&gt;1,3,IF(O41=1,2,IF(O41=0,1,0)))))</f>
        <v>1</v>
      </c>
      <c r="R41" s="294"/>
    </row>
    <row r="42" spans="1:18" ht="21.75" thickBot="1">
      <c r="A42" s="306" t="s">
        <v>591</v>
      </c>
      <c r="B42" s="307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467"/>
      <c r="N42" s="467"/>
      <c r="O42" s="467"/>
      <c r="P42" s="466"/>
      <c r="Q42" s="286">
        <f>AVERAGE(Q43:Q45)</f>
        <v>0</v>
      </c>
      <c r="R42" s="468"/>
    </row>
    <row r="43" spans="1:18" ht="21.75" hidden="1" thickBot="1">
      <c r="A43" s="313" t="s">
        <v>592</v>
      </c>
      <c r="B43" s="314" t="s">
        <v>40</v>
      </c>
      <c r="C43" s="336"/>
      <c r="D43" s="340">
        <f>'6.1'!T10</f>
        <v>0</v>
      </c>
      <c r="E43" s="340">
        <f>'6.1'!U10</f>
        <v>0</v>
      </c>
      <c r="F43" s="340">
        <f>'6.1'!V10</f>
        <v>0</v>
      </c>
      <c r="G43" s="340">
        <f>'6.1'!W10</f>
        <v>0</v>
      </c>
      <c r="H43" s="340">
        <f>'6.1'!X10</f>
        <v>0</v>
      </c>
      <c r="I43" s="340">
        <f>'6.1'!Y10</f>
        <v>0</v>
      </c>
      <c r="J43" s="331"/>
      <c r="K43" s="331"/>
      <c r="L43" s="331"/>
      <c r="M43" s="297">
        <f>(D43+E43+F43+G43+H43+I43)</f>
        <v>0</v>
      </c>
      <c r="N43" s="481"/>
      <c r="O43" s="482">
        <f>M43</f>
        <v>0</v>
      </c>
      <c r="P43" s="298" t="str">
        <f>IF(O43 &gt;=C43,"ü",IF(O43&lt;C43,"û"))</f>
        <v>ü</v>
      </c>
      <c r="Q43" s="297"/>
      <c r="R43" s="294"/>
    </row>
    <row r="44" spans="1:18" ht="21.75" thickBot="1">
      <c r="A44" s="313" t="s">
        <v>593</v>
      </c>
      <c r="B44" s="314" t="s">
        <v>40</v>
      </c>
      <c r="C44" s="336">
        <f>ส.1!C46</f>
        <v>0</v>
      </c>
      <c r="D44" s="340">
        <f>'6-10'!T10</f>
        <v>0</v>
      </c>
      <c r="E44" s="340">
        <f>'6-10'!U10</f>
        <v>0</v>
      </c>
      <c r="F44" s="340">
        <f>'6-10'!V10</f>
        <v>0</v>
      </c>
      <c r="G44" s="340">
        <f>'6-10'!W10</f>
        <v>0</v>
      </c>
      <c r="H44" s="340">
        <f>'6-10'!X10</f>
        <v>0</v>
      </c>
      <c r="I44" s="331"/>
      <c r="J44" s="331"/>
      <c r="K44" s="331"/>
      <c r="L44" s="331"/>
      <c r="M44" s="297">
        <f>(D44+E44+F44+G44+H44)</f>
        <v>0</v>
      </c>
      <c r="N44" s="297"/>
      <c r="O44" s="482">
        <f>M44</f>
        <v>0</v>
      </c>
      <c r="P44" s="298" t="str">
        <f>IF(O44 &gt;=C44,"ü",IF(O44&lt;C44,"û"))</f>
        <v>ü</v>
      </c>
      <c r="Q44" s="297">
        <f>IF(O44=5,5,IF(O44=4,4,IF(O44=3,3,IF(O44=2,2,IF(O44&gt;0,1,0)))))</f>
        <v>0</v>
      </c>
      <c r="R44" s="294"/>
    </row>
    <row r="45" spans="1:18" ht="21.75" thickBot="1">
      <c r="A45" s="483" t="s">
        <v>594</v>
      </c>
      <c r="B45" s="314" t="s">
        <v>40</v>
      </c>
      <c r="C45" s="336">
        <f>ส.1!C47</f>
        <v>0</v>
      </c>
      <c r="D45" s="472">
        <f>'6-11'!T10</f>
        <v>0</v>
      </c>
      <c r="E45" s="472">
        <f>'6-11'!U10</f>
        <v>0</v>
      </c>
      <c r="F45" s="472">
        <f>'6-11'!V10</f>
        <v>0</v>
      </c>
      <c r="G45" s="472">
        <f>'6-11'!W10</f>
        <v>0</v>
      </c>
      <c r="H45" s="472">
        <f>'6-11'!X10</f>
        <v>0</v>
      </c>
      <c r="I45" s="473"/>
      <c r="J45" s="473"/>
      <c r="K45" s="473"/>
      <c r="L45" s="473"/>
      <c r="M45" s="297">
        <f>(D45+E45+F45+G45+H45)</f>
        <v>0</v>
      </c>
      <c r="N45" s="484"/>
      <c r="O45" s="482">
        <f>M45</f>
        <v>0</v>
      </c>
      <c r="P45" s="298" t="str">
        <f>IF(O45 &gt;=C45,"ü",IF(O45&lt;C45,"û"))</f>
        <v>ü</v>
      </c>
      <c r="Q45" s="297">
        <f>IF(O45=5,5,IF(O45=4,4,IF(O45=3,3,IF(O45=2,2,IF(O45&gt;0,1,0)))))</f>
        <v>0</v>
      </c>
      <c r="R45" s="453"/>
    </row>
    <row r="46" spans="1:18" ht="21.75" thickBot="1">
      <c r="A46" s="306" t="s">
        <v>595</v>
      </c>
      <c r="B46" s="307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10"/>
      <c r="N46" s="310"/>
      <c r="O46" s="310"/>
      <c r="P46" s="311"/>
      <c r="Q46" s="286">
        <f>AVERAGE(Q47:Q52)</f>
        <v>0</v>
      </c>
      <c r="R46" s="339"/>
    </row>
    <row r="47" spans="1:18" ht="21.75" hidden="1" thickBot="1">
      <c r="A47" s="313" t="s">
        <v>596</v>
      </c>
      <c r="B47" s="314" t="s">
        <v>40</v>
      </c>
      <c r="C47" s="336"/>
      <c r="D47" s="340">
        <f>'7.1'!T10</f>
        <v>0</v>
      </c>
      <c r="E47" s="340">
        <f>'7.1'!U10</f>
        <v>0</v>
      </c>
      <c r="F47" s="340">
        <f>'7.1'!V10</f>
        <v>0</v>
      </c>
      <c r="G47" s="340">
        <f>'7.1'!W10</f>
        <v>0</v>
      </c>
      <c r="H47" s="340">
        <f>'7.1'!X10</f>
        <v>0</v>
      </c>
      <c r="I47" s="340">
        <f>'7.1'!Y10</f>
        <v>0</v>
      </c>
      <c r="J47" s="340">
        <f>'7.1'!Z10</f>
        <v>0</v>
      </c>
      <c r="K47" s="331"/>
      <c r="L47" s="331"/>
      <c r="M47" s="297">
        <f>(D47+E47+F47+G47+H47+I47+J47)</f>
        <v>0</v>
      </c>
      <c r="N47" s="297"/>
      <c r="O47" s="297">
        <f>M47</f>
        <v>0</v>
      </c>
      <c r="P47" s="298" t="str">
        <f t="shared" ref="P47:P52" si="5">IF(O47 &gt;=C47,"ü",IF(O47&lt;C47,"û"))</f>
        <v>ü</v>
      </c>
      <c r="Q47" s="297"/>
      <c r="R47" s="294"/>
    </row>
    <row r="48" spans="1:18" ht="21" hidden="1" customHeight="1" thickBot="1">
      <c r="A48" s="313" t="s">
        <v>597</v>
      </c>
      <c r="B48" s="314" t="s">
        <v>40</v>
      </c>
      <c r="C48" s="336"/>
      <c r="D48" s="340">
        <f>'7.2'!T10</f>
        <v>0</v>
      </c>
      <c r="E48" s="340">
        <f>'7.2'!U10</f>
        <v>0</v>
      </c>
      <c r="F48" s="340">
        <f>'7.2'!V10</f>
        <v>0</v>
      </c>
      <c r="G48" s="340">
        <f>'7.2'!W10</f>
        <v>0</v>
      </c>
      <c r="H48" s="340">
        <f>'7.2'!X10</f>
        <v>0</v>
      </c>
      <c r="I48" s="331"/>
      <c r="J48" s="331"/>
      <c r="K48" s="331"/>
      <c r="L48" s="331"/>
      <c r="M48" s="297">
        <f>(D48+E48+F48+G48+H48)</f>
        <v>0</v>
      </c>
      <c r="N48" s="297"/>
      <c r="O48" s="297">
        <f>M48</f>
        <v>0</v>
      </c>
      <c r="P48" s="298" t="str">
        <f t="shared" si="5"/>
        <v>ü</v>
      </c>
      <c r="Q48" s="297"/>
      <c r="R48" s="294"/>
    </row>
    <row r="49" spans="1:18" ht="21.75" hidden="1" thickBot="1">
      <c r="A49" s="313" t="s">
        <v>598</v>
      </c>
      <c r="B49" s="314" t="s">
        <v>40</v>
      </c>
      <c r="C49" s="336"/>
      <c r="D49" s="340">
        <f>'7.3'!T3</f>
        <v>0</v>
      </c>
      <c r="E49" s="340">
        <f>'7.3'!U3</f>
        <v>0</v>
      </c>
      <c r="F49" s="340">
        <f>'7.3'!V3</f>
        <v>0</v>
      </c>
      <c r="G49" s="340">
        <f>'7.3'!W3</f>
        <v>0</v>
      </c>
      <c r="H49" s="340">
        <f>'7.3'!X3</f>
        <v>0</v>
      </c>
      <c r="I49" s="331"/>
      <c r="J49" s="331"/>
      <c r="K49" s="331"/>
      <c r="L49" s="331"/>
      <c r="M49" s="297">
        <f>(D49+E49+F49+G49+H49)</f>
        <v>0</v>
      </c>
      <c r="N49" s="297"/>
      <c r="O49" s="297">
        <f>M49</f>
        <v>0</v>
      </c>
      <c r="P49" s="298" t="str">
        <f t="shared" si="5"/>
        <v>ü</v>
      </c>
      <c r="Q49" s="297"/>
      <c r="R49" s="294"/>
    </row>
    <row r="50" spans="1:18" ht="24" hidden="1" customHeight="1" thickBot="1">
      <c r="A50" s="313" t="s">
        <v>599</v>
      </c>
      <c r="B50" s="314" t="s">
        <v>40</v>
      </c>
      <c r="C50" s="336"/>
      <c r="D50" s="340">
        <f>'7.4'!T10</f>
        <v>0</v>
      </c>
      <c r="E50" s="340">
        <f>'7.4'!U10</f>
        <v>0</v>
      </c>
      <c r="F50" s="340">
        <f>'7.4'!V10</f>
        <v>0</v>
      </c>
      <c r="G50" s="340">
        <f>'7.4'!W10</f>
        <v>0</v>
      </c>
      <c r="H50" s="340">
        <f>'7.4'!X10</f>
        <v>0</v>
      </c>
      <c r="I50" s="340">
        <f>'7.4'!Y10</f>
        <v>0</v>
      </c>
      <c r="J50" s="331"/>
      <c r="K50" s="331"/>
      <c r="L50" s="331"/>
      <c r="M50" s="297">
        <f>(D50+E50+F50+G50+H50+I50)</f>
        <v>0</v>
      </c>
      <c r="N50" s="297"/>
      <c r="O50" s="297">
        <f>M50</f>
        <v>0</v>
      </c>
      <c r="P50" s="298" t="str">
        <f t="shared" si="5"/>
        <v>ü</v>
      </c>
      <c r="Q50" s="297"/>
      <c r="R50" s="294"/>
    </row>
    <row r="51" spans="1:18" ht="21.75" hidden="1" thickBot="1">
      <c r="A51" s="313" t="s">
        <v>600</v>
      </c>
      <c r="B51" s="314" t="s">
        <v>39</v>
      </c>
      <c r="C51" s="336"/>
      <c r="D51" s="915"/>
      <c r="E51" s="916"/>
      <c r="F51" s="916"/>
      <c r="G51" s="916"/>
      <c r="H51" s="916"/>
      <c r="I51" s="916"/>
      <c r="J51" s="916"/>
      <c r="K51" s="916"/>
      <c r="L51" s="917"/>
      <c r="M51" s="337"/>
      <c r="N51" s="337"/>
      <c r="O51" s="485">
        <f>'7-12'!F12</f>
        <v>0</v>
      </c>
      <c r="P51" s="298" t="str">
        <f t="shared" si="5"/>
        <v>ü</v>
      </c>
      <c r="Q51" s="297"/>
      <c r="R51" s="294"/>
    </row>
    <row r="52" spans="1:18" ht="21.75" thickBot="1">
      <c r="A52" s="313" t="s">
        <v>601</v>
      </c>
      <c r="B52" s="314" t="s">
        <v>39</v>
      </c>
      <c r="C52" s="336">
        <f>ส.1!C55</f>
        <v>0</v>
      </c>
      <c r="D52" s="915"/>
      <c r="E52" s="916"/>
      <c r="F52" s="916"/>
      <c r="G52" s="916"/>
      <c r="H52" s="916"/>
      <c r="I52" s="916"/>
      <c r="J52" s="916"/>
      <c r="K52" s="916"/>
      <c r="L52" s="917"/>
      <c r="M52" s="337"/>
      <c r="N52" s="337"/>
      <c r="O52" s="485">
        <f>'7-13'!S12</f>
        <v>0</v>
      </c>
      <c r="P52" s="298" t="str">
        <f t="shared" si="5"/>
        <v>ü</v>
      </c>
      <c r="Q52" s="297">
        <f>O52</f>
        <v>0</v>
      </c>
      <c r="R52" s="294"/>
    </row>
    <row r="53" spans="1:18" ht="21.75" hidden="1" thickBot="1">
      <c r="A53" s="351" t="s">
        <v>469</v>
      </c>
      <c r="B53" s="352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2"/>
      <c r="N53" s="352"/>
      <c r="O53" s="352"/>
      <c r="P53" s="354"/>
      <c r="Q53" s="352"/>
      <c r="R53" s="350"/>
    </row>
    <row r="54" spans="1:18" ht="21.75" hidden="1" thickBot="1">
      <c r="A54" s="351" t="s">
        <v>470</v>
      </c>
      <c r="B54" s="352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2"/>
      <c r="N54" s="352"/>
      <c r="O54" s="352"/>
      <c r="P54" s="354"/>
      <c r="Q54" s="352"/>
      <c r="R54" s="350"/>
    </row>
    <row r="55" spans="1:18" ht="21.75" hidden="1" thickBot="1">
      <c r="A55" s="306" t="s">
        <v>602</v>
      </c>
      <c r="B55" s="307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10"/>
      <c r="N55" s="310"/>
      <c r="O55" s="310"/>
      <c r="P55" s="311"/>
      <c r="Q55" s="286" t="e">
        <f>AVERAGE(Q56)</f>
        <v>#DIV/0!</v>
      </c>
      <c r="R55" s="339"/>
    </row>
    <row r="56" spans="1:18" ht="21.75" hidden="1" thickBot="1">
      <c r="A56" s="313" t="s">
        <v>603</v>
      </c>
      <c r="B56" s="314" t="s">
        <v>40</v>
      </c>
      <c r="C56" s="336"/>
      <c r="D56" s="340">
        <f>'8.1'!T10</f>
        <v>0</v>
      </c>
      <c r="E56" s="340">
        <f>'8.1'!U10</f>
        <v>0</v>
      </c>
      <c r="F56" s="340">
        <f>'8.1'!V10</f>
        <v>0</v>
      </c>
      <c r="G56" s="340">
        <f>'8.1'!W10</f>
        <v>0</v>
      </c>
      <c r="H56" s="340">
        <f>'8.1'!X10</f>
        <v>0</v>
      </c>
      <c r="I56" s="340">
        <f>'8.1'!Y10</f>
        <v>0</v>
      </c>
      <c r="J56" s="340">
        <f>'8.1'!Z10</f>
        <v>0</v>
      </c>
      <c r="K56" s="331"/>
      <c r="L56" s="331"/>
      <c r="M56" s="297">
        <f>(D56+E56+F56+G56+H56+I56+J56)</f>
        <v>0</v>
      </c>
      <c r="N56" s="297"/>
      <c r="O56" s="297">
        <f>M56</f>
        <v>0</v>
      </c>
      <c r="P56" s="298" t="str">
        <f>IF(O56 &gt;=C56,"ü",IF(O56&lt;C56,"û"))</f>
        <v>ü</v>
      </c>
      <c r="Q56" s="297"/>
      <c r="R56" s="294"/>
    </row>
    <row r="57" spans="1:18" ht="21.75" thickBot="1">
      <c r="A57" s="306" t="s">
        <v>471</v>
      </c>
      <c r="B57" s="307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10"/>
      <c r="N57" s="310"/>
      <c r="O57" s="310"/>
      <c r="P57" s="311"/>
      <c r="Q57" s="286" t="e">
        <f>AVERAGE(Q58:Q59)</f>
        <v>#DIV/0!</v>
      </c>
      <c r="R57" s="339"/>
    </row>
    <row r="58" spans="1:18" ht="21.75" hidden="1" thickBot="1">
      <c r="A58" s="313" t="s">
        <v>604</v>
      </c>
      <c r="B58" s="314" t="s">
        <v>40</v>
      </c>
      <c r="C58" s="336"/>
      <c r="D58" s="340">
        <f>'9.1'!T10</f>
        <v>0</v>
      </c>
      <c r="E58" s="340">
        <f>'9.1'!U10</f>
        <v>0</v>
      </c>
      <c r="F58" s="340">
        <f>'9.1'!V10</f>
        <v>0</v>
      </c>
      <c r="G58" s="340">
        <f>'9.1'!W10</f>
        <v>0</v>
      </c>
      <c r="H58" s="340">
        <f>'9.1'!X10</f>
        <v>0</v>
      </c>
      <c r="I58" s="340">
        <f>'9.1'!Y10</f>
        <v>0</v>
      </c>
      <c r="J58" s="340">
        <f>'9.1'!Z10</f>
        <v>0</v>
      </c>
      <c r="K58" s="340">
        <f>'9.1'!AA10</f>
        <v>0</v>
      </c>
      <c r="L58" s="340">
        <f>'9.1'!AB10</f>
        <v>0</v>
      </c>
      <c r="M58" s="297">
        <f>(D58+E58+F58+G58+H58+I58+J58+K58+L58)</f>
        <v>0</v>
      </c>
      <c r="N58" s="297"/>
      <c r="O58" s="297">
        <f>M58</f>
        <v>0</v>
      </c>
      <c r="P58" s="298" t="str">
        <f>IF(O58 &gt;=C58,"ü",IF(O58&lt;C58,"û"))</f>
        <v>ü</v>
      </c>
      <c r="Q58" s="297"/>
      <c r="R58" s="294"/>
    </row>
    <row r="59" spans="1:18" ht="43.5" customHeight="1" thickBot="1">
      <c r="A59" s="494" t="s">
        <v>472</v>
      </c>
      <c r="B59" s="330" t="s">
        <v>5</v>
      </c>
      <c r="C59" s="326">
        <f>ส.1!C62</f>
        <v>0</v>
      </c>
      <c r="D59" s="921"/>
      <c r="E59" s="922"/>
      <c r="F59" s="922"/>
      <c r="G59" s="922"/>
      <c r="H59" s="922"/>
      <c r="I59" s="922"/>
      <c r="J59" s="922"/>
      <c r="K59" s="922"/>
      <c r="L59" s="923"/>
      <c r="M59" s="355" t="e">
        <f>Q59</f>
        <v>#DIV/0!</v>
      </c>
      <c r="N59" s="356"/>
      <c r="O59" s="355" t="e">
        <f>M59</f>
        <v>#DIV/0!</v>
      </c>
      <c r="P59" s="293" t="e">
        <f>IF(O59 &gt;=C59,"ü",IF(O59&lt;C59,"û"))</f>
        <v>#DIV/0!</v>
      </c>
      <c r="Q59" s="347" t="e">
        <f>'9-15'!Q12</f>
        <v>#DIV/0!</v>
      </c>
      <c r="R59" s="493" t="s">
        <v>607</v>
      </c>
    </row>
    <row r="60" spans="1:18" ht="21.75" hidden="1" thickBot="1">
      <c r="A60" s="351" t="s">
        <v>469</v>
      </c>
      <c r="B60" s="352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2"/>
      <c r="N60" s="352"/>
      <c r="O60" s="352"/>
      <c r="P60" s="354"/>
      <c r="Q60" s="352"/>
      <c r="R60" s="350"/>
    </row>
    <row r="61" spans="1:18" ht="21.75" hidden="1" thickBot="1">
      <c r="A61" s="351" t="s">
        <v>470</v>
      </c>
      <c r="B61" s="352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2"/>
      <c r="N61" s="352"/>
      <c r="O61" s="352"/>
      <c r="P61" s="354"/>
      <c r="Q61" s="352"/>
      <c r="R61" s="350"/>
    </row>
    <row r="62" spans="1:18" ht="21.75" hidden="1" thickBot="1">
      <c r="A62" s="306" t="s">
        <v>473</v>
      </c>
      <c r="B62" s="307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10"/>
      <c r="N62" s="310"/>
      <c r="O62" s="310"/>
      <c r="P62" s="311"/>
      <c r="Q62" s="286" t="e">
        <f>AVERAGE(Q63:Q65)</f>
        <v>#DIV/0!</v>
      </c>
      <c r="R62" s="339"/>
    </row>
    <row r="63" spans="1:18" ht="21.75" hidden="1" thickBot="1">
      <c r="A63" s="295" t="s">
        <v>474</v>
      </c>
      <c r="B63" s="289" t="s">
        <v>40</v>
      </c>
      <c r="C63" s="326"/>
      <c r="D63" s="327">
        <f>'10-1'!T10</f>
        <v>0</v>
      </c>
      <c r="E63" s="327">
        <f>'10-1'!U10</f>
        <v>0</v>
      </c>
      <c r="F63" s="327">
        <f>'10-1'!V10</f>
        <v>0</v>
      </c>
      <c r="G63" s="327">
        <f>'10-1'!W10</f>
        <v>0</v>
      </c>
      <c r="H63" s="327">
        <f>'10-1'!X10</f>
        <v>0</v>
      </c>
      <c r="I63" s="328"/>
      <c r="J63" s="328"/>
      <c r="K63" s="328"/>
      <c r="L63" s="328"/>
      <c r="M63" s="292">
        <f>(D63+E63+F63+G63+H63)</f>
        <v>0</v>
      </c>
      <c r="N63" s="292"/>
      <c r="O63" s="292">
        <f>M63</f>
        <v>0</v>
      </c>
      <c r="P63" s="293" t="str">
        <f>IF(O63 &gt;=C63,"ü",IF(O63&lt;C63,"û"))</f>
        <v>ü</v>
      </c>
      <c r="Q63" s="292"/>
      <c r="R63" s="294"/>
    </row>
    <row r="64" spans="1:18" ht="42.75" hidden="1" thickBot="1">
      <c r="A64" s="452" t="s">
        <v>475</v>
      </c>
      <c r="B64" s="314" t="s">
        <v>40</v>
      </c>
      <c r="C64" s="336"/>
      <c r="D64" s="340"/>
      <c r="E64" s="340"/>
      <c r="F64" s="340"/>
      <c r="G64" s="340"/>
      <c r="H64" s="340"/>
      <c r="I64" s="331"/>
      <c r="J64" s="331"/>
      <c r="K64" s="331"/>
      <c r="L64" s="331"/>
      <c r="M64" s="297">
        <f>(D64+E64+F64+G64+H64)</f>
        <v>0</v>
      </c>
      <c r="N64" s="297"/>
      <c r="O64" s="297">
        <f>M64</f>
        <v>0</v>
      </c>
      <c r="P64" s="298" t="str">
        <f>IF(O64 &gt;=C64,"ü",IF(O64&lt;C64,"û"))</f>
        <v>ü</v>
      </c>
      <c r="Q64" s="297"/>
      <c r="R64" s="294"/>
    </row>
    <row r="65" spans="1:18" ht="21.75" hidden="1" thickBot="1">
      <c r="A65" s="452" t="s">
        <v>476</v>
      </c>
      <c r="B65" s="314" t="s">
        <v>39</v>
      </c>
      <c r="C65" s="336">
        <v>3.51</v>
      </c>
      <c r="D65" s="924"/>
      <c r="E65" s="924"/>
      <c r="F65" s="924"/>
      <c r="G65" s="924"/>
      <c r="H65" s="924"/>
      <c r="I65" s="924"/>
      <c r="J65" s="924"/>
      <c r="K65" s="924"/>
      <c r="L65" s="924"/>
      <c r="M65" s="357"/>
      <c r="N65" s="357"/>
      <c r="O65" s="358">
        <f>M65</f>
        <v>0</v>
      </c>
      <c r="P65" s="359" t="str">
        <f>IF(O65 &gt;=C65,"ü",IF(O65&lt;C65,"û"))</f>
        <v>û</v>
      </c>
      <c r="Q65" s="358"/>
      <c r="R65" s="360"/>
    </row>
    <row r="66" spans="1:18" ht="27" hidden="1" customHeight="1">
      <c r="M66" s="914" t="s">
        <v>477</v>
      </c>
      <c r="N66" s="914"/>
      <c r="O66" s="914"/>
      <c r="P66" s="914"/>
      <c r="Q66" s="363" t="e">
        <f>AVERAGE(Q7:Q8,Q10:Q24,Q26:Q27,Q29:Q34,Q36:Q41,Q43:Q45,Q47:Q52,Q56,Q58:Q59,Q63)</f>
        <v>#DIV/0!</v>
      </c>
      <c r="R66" s="364" t="e">
        <f>IF(Q66&gt;4.5,"ระดับดีมาก",IF(Q66&gt;3.5,"ระดับดี",IF(Q66&gt;2.5,"ระดับพอใช้",IF(Q66&gt;1.5,"ต้องปรับปรุง",IF(Q66&gt;=0,"ต้องปรับปรุงเร่งด่วน")))))</f>
        <v>#DIV/0!</v>
      </c>
    </row>
    <row r="67" spans="1:18" ht="25.5" hidden="1" customHeight="1">
      <c r="C67" s="361"/>
      <c r="M67" s="914" t="s">
        <v>478</v>
      </c>
      <c r="N67" s="914"/>
      <c r="O67" s="914"/>
      <c r="P67" s="914"/>
      <c r="Q67" s="363" t="e">
        <f>AVERAGE(Q7,Q10:Q18,Q26:Q27,Q29:Q31,Q36:Q37,Q43,Q47:Q50,Q56,Q58)</f>
        <v>#DIV/0!</v>
      </c>
      <c r="R67" s="364" t="e">
        <f>IF(Q67&gt;4.5,"ระดับดีมาก",IF(Q67&gt;3.5,"ระดับดี",IF(Q67&gt;2.5,"ระดับพอใช้",IF(Q67&gt;1.5,"ต้องปรับปรุง",IF(Q67&gt;=0,"ต้องปรับปรุงเร่งด่วน")))))</f>
        <v>#DIV/0!</v>
      </c>
    </row>
    <row r="68" spans="1:18" ht="25.5" customHeight="1">
      <c r="C68" s="361"/>
      <c r="M68" s="983" t="s">
        <v>826</v>
      </c>
      <c r="N68" s="984"/>
      <c r="O68" s="984"/>
      <c r="P68" s="985"/>
      <c r="Q68" s="363" t="e">
        <f>AVERAGE(Q19,Q20,Q32:Q34,Q38:Q39,Q44:Q45)</f>
        <v>#DIV/0!</v>
      </c>
      <c r="R68" s="364" t="e">
        <f>IF(Q68&gt;4.5,"ระดับดีมาก",IF(Q68&gt;3.5,"ระดับดี",IF(Q68&gt;2.5,"ระดับพอใช้",IF(Q68&gt;1.5,"ต้องปรับปรุง",IF(Q68&gt;=0,"ต้องปรับปรุงเร่งด่วน")))))</f>
        <v>#DIV/0!</v>
      </c>
    </row>
    <row r="69" spans="1:18">
      <c r="M69" s="914" t="s">
        <v>480</v>
      </c>
      <c r="N69" s="914"/>
      <c r="O69" s="914"/>
      <c r="P69" s="914"/>
      <c r="Q69" s="363" t="e">
        <f>AVERAGE(Q8,Q19:Q24,Q32:Q34,Q38:Q41,Q44:Q45,Q52,Q59)</f>
        <v>#DIV/0!</v>
      </c>
      <c r="R69" s="364" t="e">
        <f>IF(Q69&gt;4.5,"ระดับดีมาก",IF(Q69&gt;3.5,"ระดับดี",IF(Q69&gt;2.5,"ระดับพอใช้",IF(Q69&gt;1.5,"ต้องปรับปรุง",IF(Q69&gt;=0,"ต้องปรับปรุงเร่งด่วน")))))</f>
        <v>#DIV/0!</v>
      </c>
    </row>
    <row r="70" spans="1:18">
      <c r="P70" s="365"/>
      <c r="R70" s="365"/>
    </row>
    <row r="71" spans="1:18">
      <c r="A71" s="366" t="s">
        <v>479</v>
      </c>
      <c r="P71" s="365"/>
      <c r="R71" s="365"/>
    </row>
    <row r="72" spans="1:18">
      <c r="P72" s="365"/>
      <c r="R72" s="365"/>
    </row>
    <row r="73" spans="1:18">
      <c r="P73" s="365"/>
      <c r="R73" s="365"/>
    </row>
    <row r="74" spans="1:18">
      <c r="P74" s="365"/>
      <c r="R74" s="365"/>
    </row>
    <row r="75" spans="1:18">
      <c r="P75" s="365"/>
      <c r="R75" s="365"/>
    </row>
    <row r="76" spans="1:18">
      <c r="P76" s="365"/>
      <c r="R76" s="365"/>
    </row>
    <row r="77" spans="1:18">
      <c r="P77" s="365"/>
      <c r="R77" s="365"/>
    </row>
    <row r="78" spans="1:18">
      <c r="P78" s="365"/>
      <c r="R78" s="365"/>
    </row>
    <row r="79" spans="1:18">
      <c r="P79" s="365"/>
      <c r="R79" s="365"/>
    </row>
    <row r="80" spans="1:18">
      <c r="P80" s="365"/>
      <c r="R80" s="365"/>
    </row>
    <row r="81" spans="16:18">
      <c r="P81" s="365"/>
      <c r="R81" s="365"/>
    </row>
  </sheetData>
  <mergeCells count="37">
    <mergeCell ref="R13:R14"/>
    <mergeCell ref="Q13:Q14"/>
    <mergeCell ref="D13:L14"/>
    <mergeCell ref="A13:A14"/>
    <mergeCell ref="R11:R12"/>
    <mergeCell ref="Q11:Q12"/>
    <mergeCell ref="D11:L12"/>
    <mergeCell ref="A11:A12"/>
    <mergeCell ref="D59:L59"/>
    <mergeCell ref="D65:L65"/>
    <mergeCell ref="M66:P66"/>
    <mergeCell ref="M67:P67"/>
    <mergeCell ref="M69:P69"/>
    <mergeCell ref="M68:P68"/>
    <mergeCell ref="D51:L51"/>
    <mergeCell ref="D52:L52"/>
    <mergeCell ref="D19:L19"/>
    <mergeCell ref="D20:L20"/>
    <mergeCell ref="D21:L21"/>
    <mergeCell ref="D23:L23"/>
    <mergeCell ref="D24:L24"/>
    <mergeCell ref="D31:L31"/>
    <mergeCell ref="D32:L32"/>
    <mergeCell ref="D33:L33"/>
    <mergeCell ref="D34:L34"/>
    <mergeCell ref="D38:L38"/>
    <mergeCell ref="R4:R5"/>
    <mergeCell ref="A1:R1"/>
    <mergeCell ref="A2:R2"/>
    <mergeCell ref="A3:R3"/>
    <mergeCell ref="A4:A5"/>
    <mergeCell ref="B4:B5"/>
    <mergeCell ref="C4:C5"/>
    <mergeCell ref="D4:L4"/>
    <mergeCell ref="M4:O4"/>
    <mergeCell ref="P4:P5"/>
    <mergeCell ref="Q4:Q5"/>
  </mergeCells>
  <pageMargins left="0.511811023622047" right="0.31496062992126" top="0.44488189" bottom="0.49803149600000002" header="0.31496062992126" footer="0.31496062992126"/>
  <pageSetup scale="64" orientation="landscape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14"/>
  <sheetViews>
    <sheetView view="pageBreakPreview" topLeftCell="F1" zoomScaleNormal="100" zoomScaleSheetLayoutView="100" workbookViewId="0">
      <pane ySplit="4" topLeftCell="A5" activePane="bottomLeft" state="frozen"/>
      <selection activeCell="F1" sqref="F1"/>
      <selection pane="bottomLeft" activeCell="J22" sqref="J22"/>
    </sheetView>
  </sheetViews>
  <sheetFormatPr defaultRowHeight="12.75"/>
  <cols>
    <col min="1" max="1" width="24.85546875" hidden="1" customWidth="1"/>
    <col min="2" max="2" width="7.42578125" hidden="1" customWidth="1"/>
    <col min="3" max="3" width="6" hidden="1" customWidth="1"/>
    <col min="4" max="4" width="5" hidden="1" customWidth="1"/>
    <col min="5" max="5" width="5.28515625" hidden="1" customWidth="1"/>
    <col min="6" max="6" width="98.140625" customWidth="1"/>
    <col min="7" max="7" width="14.42578125" customWidth="1"/>
  </cols>
  <sheetData>
    <row r="1" spans="1:12">
      <c r="F1" s="991" t="s">
        <v>608</v>
      </c>
      <c r="G1" s="991"/>
    </row>
    <row r="2" spans="1:12">
      <c r="A2" s="495" t="s">
        <v>609</v>
      </c>
      <c r="F2" s="990" t="str">
        <f>ส.1!A2</f>
        <v>วิทยาลัยนวัตกรรมการจัดการ</v>
      </c>
      <c r="G2" s="990"/>
    </row>
    <row r="3" spans="1:12">
      <c r="A3" s="496" t="s">
        <v>610</v>
      </c>
      <c r="B3" s="496" t="s">
        <v>611</v>
      </c>
      <c r="C3" s="497">
        <v>0</v>
      </c>
      <c r="I3" t="s">
        <v>971</v>
      </c>
      <c r="J3" s="647" t="s">
        <v>972</v>
      </c>
      <c r="K3" s="647"/>
      <c r="L3" s="647"/>
    </row>
    <row r="4" spans="1:12" ht="63.75" customHeight="1">
      <c r="A4" s="498" t="s">
        <v>611</v>
      </c>
      <c r="B4" s="498" t="s">
        <v>612</v>
      </c>
      <c r="C4" s="498" t="s">
        <v>613</v>
      </c>
      <c r="D4" s="498" t="s">
        <v>614</v>
      </c>
      <c r="E4" s="498" t="s">
        <v>615</v>
      </c>
      <c r="F4" s="498" t="s">
        <v>616</v>
      </c>
      <c r="G4" s="498" t="s">
        <v>617</v>
      </c>
      <c r="J4" s="992" t="s">
        <v>973</v>
      </c>
      <c r="K4" s="992"/>
      <c r="L4" s="992"/>
    </row>
    <row r="5" spans="1:12">
      <c r="A5" s="499">
        <v>0</v>
      </c>
      <c r="B5" s="499">
        <v>2555</v>
      </c>
      <c r="C5" s="500" t="s">
        <v>618</v>
      </c>
      <c r="D5" s="500" t="s">
        <v>619</v>
      </c>
      <c r="E5" s="499">
        <v>707</v>
      </c>
      <c r="F5" s="501" t="s">
        <v>620</v>
      </c>
      <c r="G5" s="502"/>
    </row>
    <row r="6" spans="1:12">
      <c r="A6" s="503">
        <v>0</v>
      </c>
      <c r="B6" s="503">
        <v>2555</v>
      </c>
      <c r="C6" s="504" t="s">
        <v>618</v>
      </c>
      <c r="D6" s="504" t="s">
        <v>619</v>
      </c>
      <c r="E6" s="503">
        <v>1</v>
      </c>
      <c r="F6" s="501" t="s">
        <v>621</v>
      </c>
      <c r="G6" s="502" t="s">
        <v>622</v>
      </c>
    </row>
    <row r="7" spans="1:12">
      <c r="A7" s="499">
        <v>0</v>
      </c>
      <c r="B7" s="499">
        <v>2555</v>
      </c>
      <c r="C7" s="500" t="s">
        <v>618</v>
      </c>
      <c r="D7" s="500" t="s">
        <v>619</v>
      </c>
      <c r="E7" s="499">
        <v>2</v>
      </c>
      <c r="F7" s="499" t="s">
        <v>623</v>
      </c>
      <c r="G7" s="500" t="s">
        <v>622</v>
      </c>
    </row>
    <row r="8" spans="1:12">
      <c r="A8" s="503">
        <v>0</v>
      </c>
      <c r="B8" s="503">
        <v>2555</v>
      </c>
      <c r="C8" s="504" t="s">
        <v>618</v>
      </c>
      <c r="D8" s="504" t="s">
        <v>619</v>
      </c>
      <c r="E8" s="503">
        <v>3</v>
      </c>
      <c r="F8" s="503" t="s">
        <v>624</v>
      </c>
      <c r="G8" s="504" t="s">
        <v>622</v>
      </c>
    </row>
    <row r="9" spans="1:12">
      <c r="A9" s="499">
        <v>0</v>
      </c>
      <c r="B9" s="499">
        <v>2555</v>
      </c>
      <c r="C9" s="500" t="s">
        <v>618</v>
      </c>
      <c r="D9" s="500" t="s">
        <v>619</v>
      </c>
      <c r="E9" s="499">
        <v>4</v>
      </c>
      <c r="F9" s="499" t="s">
        <v>625</v>
      </c>
      <c r="G9" s="500" t="s">
        <v>622</v>
      </c>
    </row>
    <row r="10" spans="1:12">
      <c r="A10" s="503">
        <v>0</v>
      </c>
      <c r="B10" s="503">
        <v>2555</v>
      </c>
      <c r="C10" s="504" t="s">
        <v>618</v>
      </c>
      <c r="D10" s="504" t="s">
        <v>619</v>
      </c>
      <c r="E10" s="503">
        <v>5</v>
      </c>
      <c r="F10" s="503" t="s">
        <v>626</v>
      </c>
      <c r="G10" s="504" t="s">
        <v>622</v>
      </c>
    </row>
    <row r="11" spans="1:12">
      <c r="A11" s="499">
        <v>0</v>
      </c>
      <c r="B11" s="499">
        <v>2555</v>
      </c>
      <c r="C11" s="500" t="s">
        <v>618</v>
      </c>
      <c r="D11" s="500" t="s">
        <v>619</v>
      </c>
      <c r="E11" s="499">
        <v>6</v>
      </c>
      <c r="F11" s="499" t="s">
        <v>627</v>
      </c>
      <c r="G11" s="500" t="s">
        <v>622</v>
      </c>
    </row>
    <row r="12" spans="1:12">
      <c r="A12" s="503">
        <v>0</v>
      </c>
      <c r="B12" s="503">
        <v>2555</v>
      </c>
      <c r="C12" s="504" t="s">
        <v>618</v>
      </c>
      <c r="D12" s="504" t="s">
        <v>619</v>
      </c>
      <c r="E12" s="503">
        <v>7</v>
      </c>
      <c r="F12" s="503" t="s">
        <v>628</v>
      </c>
      <c r="G12" s="504" t="s">
        <v>622</v>
      </c>
    </row>
    <row r="13" spans="1:12">
      <c r="A13" s="499">
        <v>0</v>
      </c>
      <c r="B13" s="499">
        <v>2555</v>
      </c>
      <c r="C13" s="500" t="s">
        <v>618</v>
      </c>
      <c r="D13" s="500" t="s">
        <v>619</v>
      </c>
      <c r="E13" s="499">
        <v>8</v>
      </c>
      <c r="F13" s="501" t="s">
        <v>629</v>
      </c>
      <c r="G13" s="502" t="s">
        <v>622</v>
      </c>
    </row>
    <row r="14" spans="1:12">
      <c r="A14" s="503">
        <v>0</v>
      </c>
      <c r="B14" s="503">
        <v>2555</v>
      </c>
      <c r="C14" s="504" t="s">
        <v>618</v>
      </c>
      <c r="D14" s="504" t="s">
        <v>619</v>
      </c>
      <c r="E14" s="503">
        <v>9</v>
      </c>
      <c r="F14" s="503" t="s">
        <v>630</v>
      </c>
      <c r="G14" s="504" t="s">
        <v>622</v>
      </c>
    </row>
    <row r="15" spans="1:12">
      <c r="A15" s="499">
        <v>0</v>
      </c>
      <c r="B15" s="499">
        <v>2555</v>
      </c>
      <c r="C15" s="500" t="s">
        <v>618</v>
      </c>
      <c r="D15" s="500" t="s">
        <v>619</v>
      </c>
      <c r="E15" s="499">
        <v>10</v>
      </c>
      <c r="F15" s="499" t="s">
        <v>631</v>
      </c>
      <c r="G15" s="500" t="s">
        <v>622</v>
      </c>
    </row>
    <row r="16" spans="1:12">
      <c r="A16" s="503">
        <v>0</v>
      </c>
      <c r="B16" s="503">
        <v>2555</v>
      </c>
      <c r="C16" s="504" t="s">
        <v>618</v>
      </c>
      <c r="D16" s="504" t="s">
        <v>619</v>
      </c>
      <c r="E16" s="503">
        <v>587</v>
      </c>
      <c r="F16" s="501" t="s">
        <v>632</v>
      </c>
      <c r="G16" s="502" t="s">
        <v>622</v>
      </c>
    </row>
    <row r="17" spans="1:7">
      <c r="A17" s="499">
        <v>0</v>
      </c>
      <c r="B17" s="499">
        <v>2555</v>
      </c>
      <c r="C17" s="500" t="s">
        <v>618</v>
      </c>
      <c r="D17" s="500" t="s">
        <v>619</v>
      </c>
      <c r="E17" s="499">
        <v>25</v>
      </c>
      <c r="F17" s="501" t="s">
        <v>633</v>
      </c>
      <c r="G17" s="502" t="s">
        <v>622</v>
      </c>
    </row>
    <row r="18" spans="1:7">
      <c r="A18" s="503">
        <v>0</v>
      </c>
      <c r="B18" s="503">
        <v>2555</v>
      </c>
      <c r="C18" s="504" t="s">
        <v>618</v>
      </c>
      <c r="D18" s="504" t="s">
        <v>619</v>
      </c>
      <c r="E18" s="503">
        <v>26</v>
      </c>
      <c r="F18" s="501" t="s">
        <v>634</v>
      </c>
      <c r="G18" s="502" t="s">
        <v>622</v>
      </c>
    </row>
    <row r="19" spans="1:7">
      <c r="A19" s="499">
        <v>0</v>
      </c>
      <c r="B19" s="499">
        <v>2555</v>
      </c>
      <c r="C19" s="500" t="s">
        <v>618</v>
      </c>
      <c r="D19" s="500" t="s">
        <v>619</v>
      </c>
      <c r="E19" s="499">
        <v>27</v>
      </c>
      <c r="F19" s="499" t="s">
        <v>623</v>
      </c>
      <c r="G19" s="500" t="s">
        <v>622</v>
      </c>
    </row>
    <row r="20" spans="1:7">
      <c r="A20" s="503">
        <v>0</v>
      </c>
      <c r="B20" s="503">
        <v>2555</v>
      </c>
      <c r="C20" s="504" t="s">
        <v>618</v>
      </c>
      <c r="D20" s="504" t="s">
        <v>619</v>
      </c>
      <c r="E20" s="503">
        <v>28</v>
      </c>
      <c r="F20" s="503" t="s">
        <v>624</v>
      </c>
      <c r="G20" s="504" t="s">
        <v>622</v>
      </c>
    </row>
    <row r="21" spans="1:7">
      <c r="A21" s="499">
        <v>0</v>
      </c>
      <c r="B21" s="499">
        <v>2555</v>
      </c>
      <c r="C21" s="500" t="s">
        <v>618</v>
      </c>
      <c r="D21" s="500" t="s">
        <v>619</v>
      </c>
      <c r="E21" s="499">
        <v>29</v>
      </c>
      <c r="F21" s="499" t="s">
        <v>625</v>
      </c>
      <c r="G21" s="500" t="s">
        <v>622</v>
      </c>
    </row>
    <row r="22" spans="1:7">
      <c r="A22" s="503">
        <v>0</v>
      </c>
      <c r="B22" s="503">
        <v>2555</v>
      </c>
      <c r="C22" s="504" t="s">
        <v>618</v>
      </c>
      <c r="D22" s="504" t="s">
        <v>619</v>
      </c>
      <c r="E22" s="503">
        <v>30</v>
      </c>
      <c r="F22" s="503" t="s">
        <v>635</v>
      </c>
      <c r="G22" s="504" t="s">
        <v>622</v>
      </c>
    </row>
    <row r="23" spans="1:7">
      <c r="A23" s="499">
        <v>0</v>
      </c>
      <c r="B23" s="499">
        <v>2555</v>
      </c>
      <c r="C23" s="500" t="s">
        <v>618</v>
      </c>
      <c r="D23" s="500" t="s">
        <v>619</v>
      </c>
      <c r="E23" s="499">
        <v>31</v>
      </c>
      <c r="F23" s="499" t="s">
        <v>630</v>
      </c>
      <c r="G23" s="500" t="s">
        <v>622</v>
      </c>
    </row>
    <row r="24" spans="1:7">
      <c r="A24" s="503">
        <v>0</v>
      </c>
      <c r="B24" s="503">
        <v>2555</v>
      </c>
      <c r="C24" s="504" t="s">
        <v>618</v>
      </c>
      <c r="D24" s="504" t="s">
        <v>619</v>
      </c>
      <c r="E24" s="503">
        <v>32</v>
      </c>
      <c r="F24" s="503" t="s">
        <v>631</v>
      </c>
      <c r="G24" s="504" t="s">
        <v>622</v>
      </c>
    </row>
    <row r="25" spans="1:7">
      <c r="A25" s="499">
        <v>0</v>
      </c>
      <c r="B25" s="499">
        <v>2555</v>
      </c>
      <c r="C25" s="500" t="s">
        <v>618</v>
      </c>
      <c r="D25" s="500" t="s">
        <v>619</v>
      </c>
      <c r="E25" s="499">
        <v>33</v>
      </c>
      <c r="F25" s="501" t="s">
        <v>636</v>
      </c>
      <c r="G25" s="502" t="s">
        <v>622</v>
      </c>
    </row>
    <row r="26" spans="1:7">
      <c r="A26" s="503">
        <v>0</v>
      </c>
      <c r="B26" s="503">
        <v>2555</v>
      </c>
      <c r="C26" s="504" t="s">
        <v>618</v>
      </c>
      <c r="D26" s="504" t="s">
        <v>619</v>
      </c>
      <c r="E26" s="503">
        <v>34</v>
      </c>
      <c r="F26" s="503" t="s">
        <v>623</v>
      </c>
      <c r="G26" s="504" t="s">
        <v>622</v>
      </c>
    </row>
    <row r="27" spans="1:7">
      <c r="A27" s="499">
        <v>0</v>
      </c>
      <c r="B27" s="499">
        <v>2555</v>
      </c>
      <c r="C27" s="500" t="s">
        <v>618</v>
      </c>
      <c r="D27" s="500" t="s">
        <v>619</v>
      </c>
      <c r="E27" s="499">
        <v>35</v>
      </c>
      <c r="F27" s="499" t="s">
        <v>624</v>
      </c>
      <c r="G27" s="500" t="s">
        <v>622</v>
      </c>
    </row>
    <row r="28" spans="1:7">
      <c r="A28" s="503">
        <v>0</v>
      </c>
      <c r="B28" s="503">
        <v>2555</v>
      </c>
      <c r="C28" s="504" t="s">
        <v>618</v>
      </c>
      <c r="D28" s="504" t="s">
        <v>619</v>
      </c>
      <c r="E28" s="503">
        <v>36</v>
      </c>
      <c r="F28" s="503" t="s">
        <v>625</v>
      </c>
      <c r="G28" s="504" t="s">
        <v>622</v>
      </c>
    </row>
    <row r="29" spans="1:7">
      <c r="A29" s="499">
        <v>0</v>
      </c>
      <c r="B29" s="499">
        <v>2555</v>
      </c>
      <c r="C29" s="500" t="s">
        <v>618</v>
      </c>
      <c r="D29" s="500" t="s">
        <v>619</v>
      </c>
      <c r="E29" s="499">
        <v>37</v>
      </c>
      <c r="F29" s="499" t="s">
        <v>635</v>
      </c>
      <c r="G29" s="500" t="s">
        <v>622</v>
      </c>
    </row>
    <row r="30" spans="1:7">
      <c r="A30" s="503">
        <v>0</v>
      </c>
      <c r="B30" s="503">
        <v>2555</v>
      </c>
      <c r="C30" s="504" t="s">
        <v>618</v>
      </c>
      <c r="D30" s="504" t="s">
        <v>619</v>
      </c>
      <c r="E30" s="503">
        <v>38</v>
      </c>
      <c r="F30" s="503" t="s">
        <v>630</v>
      </c>
      <c r="G30" s="504" t="s">
        <v>622</v>
      </c>
    </row>
    <row r="31" spans="1:7">
      <c r="A31" s="499">
        <v>0</v>
      </c>
      <c r="B31" s="499">
        <v>2555</v>
      </c>
      <c r="C31" s="500" t="s">
        <v>618</v>
      </c>
      <c r="D31" s="500" t="s">
        <v>619</v>
      </c>
      <c r="E31" s="499">
        <v>39</v>
      </c>
      <c r="F31" s="499" t="s">
        <v>631</v>
      </c>
      <c r="G31" s="500" t="s">
        <v>622</v>
      </c>
    </row>
    <row r="32" spans="1:7">
      <c r="A32" s="503">
        <v>0</v>
      </c>
      <c r="B32" s="503">
        <v>2555</v>
      </c>
      <c r="C32" s="504" t="s">
        <v>618</v>
      </c>
      <c r="D32" s="504" t="s">
        <v>619</v>
      </c>
      <c r="E32" s="503">
        <v>40</v>
      </c>
      <c r="F32" s="501" t="s">
        <v>637</v>
      </c>
      <c r="G32" s="502" t="s">
        <v>622</v>
      </c>
    </row>
    <row r="33" spans="1:7">
      <c r="A33" s="499">
        <v>0</v>
      </c>
      <c r="B33" s="499">
        <v>2555</v>
      </c>
      <c r="C33" s="500" t="s">
        <v>618</v>
      </c>
      <c r="D33" s="500" t="s">
        <v>619</v>
      </c>
      <c r="E33" s="499">
        <v>41</v>
      </c>
      <c r="F33" s="499" t="s">
        <v>623</v>
      </c>
      <c r="G33" s="500" t="s">
        <v>622</v>
      </c>
    </row>
    <row r="34" spans="1:7">
      <c r="A34" s="503">
        <v>0</v>
      </c>
      <c r="B34" s="503">
        <v>2555</v>
      </c>
      <c r="C34" s="504" t="s">
        <v>618</v>
      </c>
      <c r="D34" s="504" t="s">
        <v>619</v>
      </c>
      <c r="E34" s="503">
        <v>42</v>
      </c>
      <c r="F34" s="503" t="s">
        <v>624</v>
      </c>
      <c r="G34" s="504" t="s">
        <v>622</v>
      </c>
    </row>
    <row r="35" spans="1:7">
      <c r="A35" s="499">
        <v>0</v>
      </c>
      <c r="B35" s="499">
        <v>2555</v>
      </c>
      <c r="C35" s="500" t="s">
        <v>618</v>
      </c>
      <c r="D35" s="500" t="s">
        <v>619</v>
      </c>
      <c r="E35" s="499">
        <v>43</v>
      </c>
      <c r="F35" s="499" t="s">
        <v>625</v>
      </c>
      <c r="G35" s="500" t="s">
        <v>622</v>
      </c>
    </row>
    <row r="36" spans="1:7">
      <c r="A36" s="503">
        <v>0</v>
      </c>
      <c r="B36" s="503">
        <v>2555</v>
      </c>
      <c r="C36" s="504" t="s">
        <v>618</v>
      </c>
      <c r="D36" s="504" t="s">
        <v>619</v>
      </c>
      <c r="E36" s="503">
        <v>44</v>
      </c>
      <c r="F36" s="503" t="s">
        <v>635</v>
      </c>
      <c r="G36" s="504" t="s">
        <v>622</v>
      </c>
    </row>
    <row r="37" spans="1:7">
      <c r="A37" s="499">
        <v>0</v>
      </c>
      <c r="B37" s="499">
        <v>2555</v>
      </c>
      <c r="C37" s="500" t="s">
        <v>618</v>
      </c>
      <c r="D37" s="500" t="s">
        <v>619</v>
      </c>
      <c r="E37" s="499">
        <v>45</v>
      </c>
      <c r="F37" s="499" t="s">
        <v>630</v>
      </c>
      <c r="G37" s="500" t="s">
        <v>622</v>
      </c>
    </row>
    <row r="38" spans="1:7">
      <c r="A38" s="503">
        <v>0</v>
      </c>
      <c r="B38" s="503">
        <v>2555</v>
      </c>
      <c r="C38" s="504" t="s">
        <v>618</v>
      </c>
      <c r="D38" s="504" t="s">
        <v>619</v>
      </c>
      <c r="E38" s="503">
        <v>46</v>
      </c>
      <c r="F38" s="503" t="s">
        <v>631</v>
      </c>
      <c r="G38" s="504" t="s">
        <v>622</v>
      </c>
    </row>
    <row r="39" spans="1:7">
      <c r="A39" s="499">
        <v>0</v>
      </c>
      <c r="B39" s="499">
        <v>2555</v>
      </c>
      <c r="C39" s="500" t="s">
        <v>618</v>
      </c>
      <c r="D39" s="500" t="s">
        <v>619</v>
      </c>
      <c r="E39" s="499">
        <v>47</v>
      </c>
      <c r="F39" s="501" t="s">
        <v>638</v>
      </c>
      <c r="G39" s="502" t="s">
        <v>622</v>
      </c>
    </row>
    <row r="40" spans="1:7">
      <c r="A40" s="503">
        <v>0</v>
      </c>
      <c r="B40" s="503">
        <v>2555</v>
      </c>
      <c r="C40" s="504" t="s">
        <v>618</v>
      </c>
      <c r="D40" s="504" t="s">
        <v>619</v>
      </c>
      <c r="E40" s="503">
        <v>48</v>
      </c>
      <c r="F40" s="503" t="s">
        <v>623</v>
      </c>
      <c r="G40" s="504" t="s">
        <v>622</v>
      </c>
    </row>
    <row r="41" spans="1:7">
      <c r="A41" s="499">
        <v>0</v>
      </c>
      <c r="B41" s="499">
        <v>2555</v>
      </c>
      <c r="C41" s="500" t="s">
        <v>618</v>
      </c>
      <c r="D41" s="500" t="s">
        <v>619</v>
      </c>
      <c r="E41" s="499">
        <v>49</v>
      </c>
      <c r="F41" s="499" t="s">
        <v>624</v>
      </c>
      <c r="G41" s="500" t="s">
        <v>622</v>
      </c>
    </row>
    <row r="42" spans="1:7">
      <c r="A42" s="503">
        <v>0</v>
      </c>
      <c r="B42" s="503">
        <v>2555</v>
      </c>
      <c r="C42" s="504" t="s">
        <v>618</v>
      </c>
      <c r="D42" s="504" t="s">
        <v>619</v>
      </c>
      <c r="E42" s="503">
        <v>50</v>
      </c>
      <c r="F42" s="503" t="s">
        <v>625</v>
      </c>
      <c r="G42" s="504" t="s">
        <v>622</v>
      </c>
    </row>
    <row r="43" spans="1:7">
      <c r="A43" s="499">
        <v>0</v>
      </c>
      <c r="B43" s="499">
        <v>2555</v>
      </c>
      <c r="C43" s="500" t="s">
        <v>618</v>
      </c>
      <c r="D43" s="500" t="s">
        <v>619</v>
      </c>
      <c r="E43" s="499">
        <v>51</v>
      </c>
      <c r="F43" s="499" t="s">
        <v>635</v>
      </c>
      <c r="G43" s="500" t="s">
        <v>622</v>
      </c>
    </row>
    <row r="44" spans="1:7">
      <c r="A44" s="503">
        <v>0</v>
      </c>
      <c r="B44" s="503">
        <v>2555</v>
      </c>
      <c r="C44" s="504" t="s">
        <v>618</v>
      </c>
      <c r="D44" s="504" t="s">
        <v>619</v>
      </c>
      <c r="E44" s="503">
        <v>52</v>
      </c>
      <c r="F44" s="503" t="s">
        <v>630</v>
      </c>
      <c r="G44" s="504" t="s">
        <v>622</v>
      </c>
    </row>
    <row r="45" spans="1:7">
      <c r="A45" s="499">
        <v>0</v>
      </c>
      <c r="B45" s="499">
        <v>2555</v>
      </c>
      <c r="C45" s="500" t="s">
        <v>618</v>
      </c>
      <c r="D45" s="500" t="s">
        <v>619</v>
      </c>
      <c r="E45" s="499">
        <v>53</v>
      </c>
      <c r="F45" s="499" t="s">
        <v>631</v>
      </c>
      <c r="G45" s="500" t="s">
        <v>622</v>
      </c>
    </row>
    <row r="46" spans="1:7">
      <c r="A46" s="503">
        <v>0</v>
      </c>
      <c r="B46" s="503">
        <v>2555</v>
      </c>
      <c r="C46" s="504" t="s">
        <v>618</v>
      </c>
      <c r="D46" s="504" t="s">
        <v>619</v>
      </c>
      <c r="E46" s="503">
        <v>11</v>
      </c>
      <c r="F46" s="501" t="s">
        <v>639</v>
      </c>
      <c r="G46" s="502" t="s">
        <v>622</v>
      </c>
    </row>
    <row r="47" spans="1:7">
      <c r="A47" s="499">
        <v>0</v>
      </c>
      <c r="B47" s="499">
        <v>2555</v>
      </c>
      <c r="C47" s="500" t="s">
        <v>618</v>
      </c>
      <c r="D47" s="500" t="s">
        <v>619</v>
      </c>
      <c r="E47" s="499">
        <v>12</v>
      </c>
      <c r="F47" s="499" t="s">
        <v>623</v>
      </c>
      <c r="G47" s="500" t="s">
        <v>622</v>
      </c>
    </row>
    <row r="48" spans="1:7">
      <c r="A48" s="503">
        <v>0</v>
      </c>
      <c r="B48" s="503">
        <v>2555</v>
      </c>
      <c r="C48" s="504" t="s">
        <v>618</v>
      </c>
      <c r="D48" s="504" t="s">
        <v>619</v>
      </c>
      <c r="E48" s="503">
        <v>13</v>
      </c>
      <c r="F48" s="503" t="s">
        <v>624</v>
      </c>
      <c r="G48" s="504" t="s">
        <v>622</v>
      </c>
    </row>
    <row r="49" spans="1:7">
      <c r="A49" s="499">
        <v>0</v>
      </c>
      <c r="B49" s="499">
        <v>2555</v>
      </c>
      <c r="C49" s="500" t="s">
        <v>618</v>
      </c>
      <c r="D49" s="500" t="s">
        <v>619</v>
      </c>
      <c r="E49" s="499">
        <v>14</v>
      </c>
      <c r="F49" s="499" t="s">
        <v>625</v>
      </c>
      <c r="G49" s="500" t="s">
        <v>622</v>
      </c>
    </row>
    <row r="50" spans="1:7">
      <c r="A50" s="503">
        <v>0</v>
      </c>
      <c r="B50" s="503">
        <v>2555</v>
      </c>
      <c r="C50" s="504" t="s">
        <v>618</v>
      </c>
      <c r="D50" s="504" t="s">
        <v>619</v>
      </c>
      <c r="E50" s="503">
        <v>15</v>
      </c>
      <c r="F50" s="503" t="s">
        <v>635</v>
      </c>
      <c r="G50" s="504" t="s">
        <v>622</v>
      </c>
    </row>
    <row r="51" spans="1:7">
      <c r="A51" s="499">
        <v>0</v>
      </c>
      <c r="B51" s="499">
        <v>2555</v>
      </c>
      <c r="C51" s="500" t="s">
        <v>618</v>
      </c>
      <c r="D51" s="500" t="s">
        <v>619</v>
      </c>
      <c r="E51" s="499">
        <v>16</v>
      </c>
      <c r="F51" s="499" t="s">
        <v>630</v>
      </c>
      <c r="G51" s="500" t="s">
        <v>622</v>
      </c>
    </row>
    <row r="52" spans="1:7">
      <c r="A52" s="503">
        <v>0</v>
      </c>
      <c r="B52" s="503">
        <v>2555</v>
      </c>
      <c r="C52" s="504" t="s">
        <v>618</v>
      </c>
      <c r="D52" s="504" t="s">
        <v>619</v>
      </c>
      <c r="E52" s="503">
        <v>17</v>
      </c>
      <c r="F52" s="503" t="s">
        <v>631</v>
      </c>
      <c r="G52" s="504" t="s">
        <v>622</v>
      </c>
    </row>
    <row r="53" spans="1:7">
      <c r="A53" s="499">
        <v>0</v>
      </c>
      <c r="B53" s="499">
        <v>2555</v>
      </c>
      <c r="C53" s="500" t="s">
        <v>618</v>
      </c>
      <c r="D53" s="500" t="s">
        <v>619</v>
      </c>
      <c r="E53" s="499">
        <v>18</v>
      </c>
      <c r="F53" s="501" t="s">
        <v>640</v>
      </c>
      <c r="G53" s="502" t="s">
        <v>622</v>
      </c>
    </row>
    <row r="54" spans="1:7">
      <c r="A54" s="503">
        <v>0</v>
      </c>
      <c r="B54" s="503">
        <v>2555</v>
      </c>
      <c r="C54" s="504" t="s">
        <v>618</v>
      </c>
      <c r="D54" s="504" t="s">
        <v>619</v>
      </c>
      <c r="E54" s="503">
        <v>19</v>
      </c>
      <c r="F54" s="503" t="s">
        <v>623</v>
      </c>
      <c r="G54" s="504" t="s">
        <v>622</v>
      </c>
    </row>
    <row r="55" spans="1:7">
      <c r="A55" s="499">
        <v>0</v>
      </c>
      <c r="B55" s="499">
        <v>2555</v>
      </c>
      <c r="C55" s="500" t="s">
        <v>618</v>
      </c>
      <c r="D55" s="500" t="s">
        <v>619</v>
      </c>
      <c r="E55" s="499">
        <v>20</v>
      </c>
      <c r="F55" s="499" t="s">
        <v>624</v>
      </c>
      <c r="G55" s="500" t="s">
        <v>622</v>
      </c>
    </row>
    <row r="56" spans="1:7">
      <c r="A56" s="503">
        <v>0</v>
      </c>
      <c r="B56" s="503">
        <v>2555</v>
      </c>
      <c r="C56" s="504" t="s">
        <v>618</v>
      </c>
      <c r="D56" s="504" t="s">
        <v>619</v>
      </c>
      <c r="E56" s="503">
        <v>21</v>
      </c>
      <c r="F56" s="503" t="s">
        <v>625</v>
      </c>
      <c r="G56" s="504" t="s">
        <v>622</v>
      </c>
    </row>
    <row r="57" spans="1:7">
      <c r="A57" s="499">
        <v>0</v>
      </c>
      <c r="B57" s="499">
        <v>2555</v>
      </c>
      <c r="C57" s="500" t="s">
        <v>618</v>
      </c>
      <c r="D57" s="500" t="s">
        <v>619</v>
      </c>
      <c r="E57" s="499">
        <v>22</v>
      </c>
      <c r="F57" s="499" t="s">
        <v>635</v>
      </c>
      <c r="G57" s="500" t="s">
        <v>622</v>
      </c>
    </row>
    <row r="58" spans="1:7">
      <c r="A58" s="503">
        <v>0</v>
      </c>
      <c r="B58" s="503">
        <v>2555</v>
      </c>
      <c r="C58" s="504" t="s">
        <v>618</v>
      </c>
      <c r="D58" s="504" t="s">
        <v>619</v>
      </c>
      <c r="E58" s="503">
        <v>23</v>
      </c>
      <c r="F58" s="503" t="s">
        <v>630</v>
      </c>
      <c r="G58" s="504" t="s">
        <v>622</v>
      </c>
    </row>
    <row r="59" spans="1:7">
      <c r="A59" s="499">
        <v>0</v>
      </c>
      <c r="B59" s="499">
        <v>2555</v>
      </c>
      <c r="C59" s="500" t="s">
        <v>618</v>
      </c>
      <c r="D59" s="500" t="s">
        <v>619</v>
      </c>
      <c r="E59" s="499">
        <v>24</v>
      </c>
      <c r="F59" s="499" t="s">
        <v>631</v>
      </c>
      <c r="G59" s="500" t="s">
        <v>622</v>
      </c>
    </row>
    <row r="60" spans="1:7" ht="25.5">
      <c r="A60" s="503">
        <v>0</v>
      </c>
      <c r="B60" s="503">
        <v>2555</v>
      </c>
      <c r="C60" s="504" t="s">
        <v>618</v>
      </c>
      <c r="D60" s="504" t="s">
        <v>619</v>
      </c>
      <c r="E60" s="503">
        <v>61</v>
      </c>
      <c r="F60" s="501" t="s">
        <v>641</v>
      </c>
      <c r="G60" s="502" t="s">
        <v>622</v>
      </c>
    </row>
    <row r="61" spans="1:7">
      <c r="A61" s="499">
        <v>0</v>
      </c>
      <c r="B61" s="499">
        <v>2555</v>
      </c>
      <c r="C61" s="500" t="s">
        <v>618</v>
      </c>
      <c r="D61" s="500" t="s">
        <v>619</v>
      </c>
      <c r="E61" s="499">
        <v>62</v>
      </c>
      <c r="F61" s="499" t="s">
        <v>623</v>
      </c>
      <c r="G61" s="500" t="s">
        <v>622</v>
      </c>
    </row>
    <row r="62" spans="1:7">
      <c r="A62" s="503">
        <v>0</v>
      </c>
      <c r="B62" s="503">
        <v>2555</v>
      </c>
      <c r="C62" s="504" t="s">
        <v>618</v>
      </c>
      <c r="D62" s="504" t="s">
        <v>619</v>
      </c>
      <c r="E62" s="503">
        <v>63</v>
      </c>
      <c r="F62" s="503" t="s">
        <v>624</v>
      </c>
      <c r="G62" s="504" t="s">
        <v>622</v>
      </c>
    </row>
    <row r="63" spans="1:7">
      <c r="A63" s="499">
        <v>0</v>
      </c>
      <c r="B63" s="499">
        <v>2555</v>
      </c>
      <c r="C63" s="500" t="s">
        <v>618</v>
      </c>
      <c r="D63" s="500" t="s">
        <v>619</v>
      </c>
      <c r="E63" s="499">
        <v>64</v>
      </c>
      <c r="F63" s="499" t="s">
        <v>625</v>
      </c>
      <c r="G63" s="500" t="s">
        <v>622</v>
      </c>
    </row>
    <row r="64" spans="1:7">
      <c r="A64" s="503">
        <v>0</v>
      </c>
      <c r="B64" s="503">
        <v>2555</v>
      </c>
      <c r="C64" s="504" t="s">
        <v>618</v>
      </c>
      <c r="D64" s="504" t="s">
        <v>619</v>
      </c>
      <c r="E64" s="503">
        <v>65</v>
      </c>
      <c r="F64" s="503" t="s">
        <v>635</v>
      </c>
      <c r="G64" s="504" t="s">
        <v>622</v>
      </c>
    </row>
    <row r="65" spans="1:7">
      <c r="A65" s="499">
        <v>0</v>
      </c>
      <c r="B65" s="499">
        <v>2555</v>
      </c>
      <c r="C65" s="500" t="s">
        <v>618</v>
      </c>
      <c r="D65" s="500" t="s">
        <v>619</v>
      </c>
      <c r="E65" s="499">
        <v>66</v>
      </c>
      <c r="F65" s="499" t="s">
        <v>630</v>
      </c>
      <c r="G65" s="500" t="s">
        <v>622</v>
      </c>
    </row>
    <row r="66" spans="1:7">
      <c r="A66" s="503">
        <v>0</v>
      </c>
      <c r="B66" s="503">
        <v>2555</v>
      </c>
      <c r="C66" s="504" t="s">
        <v>618</v>
      </c>
      <c r="D66" s="504" t="s">
        <v>619</v>
      </c>
      <c r="E66" s="503">
        <v>67</v>
      </c>
      <c r="F66" s="503" t="s">
        <v>631</v>
      </c>
      <c r="G66" s="504" t="s">
        <v>622</v>
      </c>
    </row>
    <row r="67" spans="1:7" ht="35.25" customHeight="1">
      <c r="A67" s="499">
        <v>0</v>
      </c>
      <c r="B67" s="499">
        <v>2555</v>
      </c>
      <c r="C67" s="500" t="s">
        <v>618</v>
      </c>
      <c r="D67" s="500" t="s">
        <v>619</v>
      </c>
      <c r="E67" s="499">
        <v>54</v>
      </c>
      <c r="F67" s="501" t="s">
        <v>642</v>
      </c>
      <c r="G67" s="502" t="s">
        <v>622</v>
      </c>
    </row>
    <row r="68" spans="1:7">
      <c r="A68" s="503">
        <v>0</v>
      </c>
      <c r="B68" s="503">
        <v>2555</v>
      </c>
      <c r="C68" s="504" t="s">
        <v>618</v>
      </c>
      <c r="D68" s="504" t="s">
        <v>619</v>
      </c>
      <c r="E68" s="503">
        <v>55</v>
      </c>
      <c r="F68" s="503" t="s">
        <v>623</v>
      </c>
      <c r="G68" s="504" t="s">
        <v>622</v>
      </c>
    </row>
    <row r="69" spans="1:7">
      <c r="A69" s="499">
        <v>0</v>
      </c>
      <c r="B69" s="499">
        <v>2555</v>
      </c>
      <c r="C69" s="500" t="s">
        <v>618</v>
      </c>
      <c r="D69" s="500" t="s">
        <v>619</v>
      </c>
      <c r="E69" s="499">
        <v>56</v>
      </c>
      <c r="F69" s="499" t="s">
        <v>624</v>
      </c>
      <c r="G69" s="500" t="s">
        <v>622</v>
      </c>
    </row>
    <row r="70" spans="1:7">
      <c r="A70" s="503">
        <v>0</v>
      </c>
      <c r="B70" s="503">
        <v>2555</v>
      </c>
      <c r="C70" s="504" t="s">
        <v>618</v>
      </c>
      <c r="D70" s="504" t="s">
        <v>619</v>
      </c>
      <c r="E70" s="503">
        <v>57</v>
      </c>
      <c r="F70" s="503" t="s">
        <v>625</v>
      </c>
      <c r="G70" s="504" t="s">
        <v>622</v>
      </c>
    </row>
    <row r="71" spans="1:7">
      <c r="A71" s="499">
        <v>0</v>
      </c>
      <c r="B71" s="499">
        <v>2555</v>
      </c>
      <c r="C71" s="500" t="s">
        <v>618</v>
      </c>
      <c r="D71" s="500" t="s">
        <v>619</v>
      </c>
      <c r="E71" s="499">
        <v>58</v>
      </c>
      <c r="F71" s="499" t="s">
        <v>635</v>
      </c>
      <c r="G71" s="500" t="s">
        <v>622</v>
      </c>
    </row>
    <row r="72" spans="1:7">
      <c r="A72" s="503">
        <v>0</v>
      </c>
      <c r="B72" s="503">
        <v>2555</v>
      </c>
      <c r="C72" s="504" t="s">
        <v>618</v>
      </c>
      <c r="D72" s="504" t="s">
        <v>619</v>
      </c>
      <c r="E72" s="503">
        <v>59</v>
      </c>
      <c r="F72" s="503" t="s">
        <v>630</v>
      </c>
      <c r="G72" s="504" t="s">
        <v>622</v>
      </c>
    </row>
    <row r="73" spans="1:7">
      <c r="A73" s="499">
        <v>0</v>
      </c>
      <c r="B73" s="499">
        <v>2555</v>
      </c>
      <c r="C73" s="500" t="s">
        <v>618</v>
      </c>
      <c r="D73" s="500" t="s">
        <v>619</v>
      </c>
      <c r="E73" s="499">
        <v>60</v>
      </c>
      <c r="F73" s="499" t="s">
        <v>631</v>
      </c>
      <c r="G73" s="500" t="s">
        <v>622</v>
      </c>
    </row>
    <row r="74" spans="1:7" ht="25.5">
      <c r="A74" s="503">
        <v>0</v>
      </c>
      <c r="B74" s="503">
        <v>2555</v>
      </c>
      <c r="C74" s="504" t="s">
        <v>618</v>
      </c>
      <c r="D74" s="504" t="s">
        <v>619</v>
      </c>
      <c r="E74" s="503">
        <v>695</v>
      </c>
      <c r="F74" s="501" t="s">
        <v>643</v>
      </c>
      <c r="G74" s="502"/>
    </row>
    <row r="75" spans="1:7">
      <c r="A75" s="499" t="s">
        <v>619</v>
      </c>
      <c r="B75" s="499">
        <v>2555</v>
      </c>
      <c r="C75" s="500" t="s">
        <v>618</v>
      </c>
      <c r="D75" s="500" t="s">
        <v>619</v>
      </c>
      <c r="E75" s="499">
        <v>696</v>
      </c>
      <c r="F75" s="499" t="s">
        <v>623</v>
      </c>
      <c r="G75" s="500"/>
    </row>
    <row r="76" spans="1:7">
      <c r="A76" s="503" t="s">
        <v>619</v>
      </c>
      <c r="B76" s="503">
        <v>2555</v>
      </c>
      <c r="C76" s="504" t="s">
        <v>618</v>
      </c>
      <c r="D76" s="504" t="s">
        <v>619</v>
      </c>
      <c r="E76" s="503">
        <v>697</v>
      </c>
      <c r="F76" s="503" t="s">
        <v>624</v>
      </c>
      <c r="G76" s="504"/>
    </row>
    <row r="77" spans="1:7">
      <c r="A77" s="499" t="s">
        <v>619</v>
      </c>
      <c r="B77" s="499">
        <v>2555</v>
      </c>
      <c r="C77" s="500" t="s">
        <v>618</v>
      </c>
      <c r="D77" s="500" t="s">
        <v>619</v>
      </c>
      <c r="E77" s="499">
        <v>698</v>
      </c>
      <c r="F77" s="499" t="s">
        <v>625</v>
      </c>
      <c r="G77" s="500"/>
    </row>
    <row r="78" spans="1:7">
      <c r="A78" s="503" t="s">
        <v>619</v>
      </c>
      <c r="B78" s="503">
        <v>2555</v>
      </c>
      <c r="C78" s="504" t="s">
        <v>618</v>
      </c>
      <c r="D78" s="504" t="s">
        <v>619</v>
      </c>
      <c r="E78" s="503">
        <v>699</v>
      </c>
      <c r="F78" s="503" t="s">
        <v>635</v>
      </c>
      <c r="G78" s="504"/>
    </row>
    <row r="79" spans="1:7">
      <c r="A79" s="499" t="s">
        <v>619</v>
      </c>
      <c r="B79" s="499">
        <v>2555</v>
      </c>
      <c r="C79" s="500" t="s">
        <v>618</v>
      </c>
      <c r="D79" s="500" t="s">
        <v>619</v>
      </c>
      <c r="E79" s="499">
        <v>700</v>
      </c>
      <c r="F79" s="499" t="s">
        <v>630</v>
      </c>
      <c r="G79" s="500"/>
    </row>
    <row r="80" spans="1:7">
      <c r="A80" s="503" t="s">
        <v>619</v>
      </c>
      <c r="B80" s="503">
        <v>2555</v>
      </c>
      <c r="C80" s="504" t="s">
        <v>618</v>
      </c>
      <c r="D80" s="504" t="s">
        <v>619</v>
      </c>
      <c r="E80" s="503">
        <v>701</v>
      </c>
      <c r="F80" s="503" t="s">
        <v>631</v>
      </c>
      <c r="G80" s="504"/>
    </row>
    <row r="81" spans="1:7" ht="25.5">
      <c r="A81" s="499" t="s">
        <v>619</v>
      </c>
      <c r="B81" s="499">
        <v>2555</v>
      </c>
      <c r="C81" s="500" t="s">
        <v>618</v>
      </c>
      <c r="D81" s="500" t="s">
        <v>619</v>
      </c>
      <c r="E81" s="499">
        <v>68</v>
      </c>
      <c r="F81" s="501" t="s">
        <v>644</v>
      </c>
      <c r="G81" s="502" t="s">
        <v>622</v>
      </c>
    </row>
    <row r="82" spans="1:7">
      <c r="A82" s="503">
        <v>0</v>
      </c>
      <c r="B82" s="503">
        <v>2555</v>
      </c>
      <c r="C82" s="504" t="s">
        <v>618</v>
      </c>
      <c r="D82" s="504" t="s">
        <v>619</v>
      </c>
      <c r="E82" s="503">
        <v>69</v>
      </c>
      <c r="F82" s="503" t="s">
        <v>623</v>
      </c>
      <c r="G82" s="504" t="s">
        <v>622</v>
      </c>
    </row>
    <row r="83" spans="1:7">
      <c r="A83" s="499">
        <v>0</v>
      </c>
      <c r="B83" s="499">
        <v>2555</v>
      </c>
      <c r="C83" s="500" t="s">
        <v>618</v>
      </c>
      <c r="D83" s="500" t="s">
        <v>619</v>
      </c>
      <c r="E83" s="499">
        <v>70</v>
      </c>
      <c r="F83" s="499" t="s">
        <v>624</v>
      </c>
      <c r="G83" s="500" t="s">
        <v>622</v>
      </c>
    </row>
    <row r="84" spans="1:7">
      <c r="A84" s="503">
        <v>0</v>
      </c>
      <c r="B84" s="503">
        <v>2555</v>
      </c>
      <c r="C84" s="504" t="s">
        <v>618</v>
      </c>
      <c r="D84" s="504" t="s">
        <v>619</v>
      </c>
      <c r="E84" s="503">
        <v>71</v>
      </c>
      <c r="F84" s="503" t="s">
        <v>625</v>
      </c>
      <c r="G84" s="504" t="s">
        <v>622</v>
      </c>
    </row>
    <row r="85" spans="1:7">
      <c r="A85" s="499">
        <v>0</v>
      </c>
      <c r="B85" s="499">
        <v>2555</v>
      </c>
      <c r="C85" s="500" t="s">
        <v>618</v>
      </c>
      <c r="D85" s="500" t="s">
        <v>619</v>
      </c>
      <c r="E85" s="499">
        <v>72</v>
      </c>
      <c r="F85" s="499" t="s">
        <v>635</v>
      </c>
      <c r="G85" s="500" t="s">
        <v>622</v>
      </c>
    </row>
    <row r="86" spans="1:7">
      <c r="A86" s="503">
        <v>0</v>
      </c>
      <c r="B86" s="503">
        <v>2555</v>
      </c>
      <c r="C86" s="504" t="s">
        <v>618</v>
      </c>
      <c r="D86" s="504" t="s">
        <v>619</v>
      </c>
      <c r="E86" s="503">
        <v>73</v>
      </c>
      <c r="F86" s="503" t="s">
        <v>630</v>
      </c>
      <c r="G86" s="504" t="s">
        <v>622</v>
      </c>
    </row>
    <row r="87" spans="1:7">
      <c r="A87" s="499">
        <v>0</v>
      </c>
      <c r="B87" s="499">
        <v>2555</v>
      </c>
      <c r="C87" s="500" t="s">
        <v>618</v>
      </c>
      <c r="D87" s="500" t="s">
        <v>619</v>
      </c>
      <c r="E87" s="499">
        <v>74</v>
      </c>
      <c r="F87" s="499" t="s">
        <v>645</v>
      </c>
      <c r="G87" s="500" t="s">
        <v>622</v>
      </c>
    </row>
    <row r="88" spans="1:7">
      <c r="A88" s="503">
        <v>0</v>
      </c>
      <c r="B88" s="503">
        <v>2555</v>
      </c>
      <c r="C88" s="504" t="s">
        <v>618</v>
      </c>
      <c r="D88" s="504" t="s">
        <v>619</v>
      </c>
      <c r="E88" s="503">
        <v>75</v>
      </c>
      <c r="F88" s="503" t="s">
        <v>646</v>
      </c>
      <c r="G88" s="504" t="s">
        <v>622</v>
      </c>
    </row>
    <row r="89" spans="1:7">
      <c r="A89" s="499">
        <v>0</v>
      </c>
      <c r="B89" s="499">
        <v>2555</v>
      </c>
      <c r="C89" s="500" t="s">
        <v>618</v>
      </c>
      <c r="D89" s="500" t="s">
        <v>619</v>
      </c>
      <c r="E89" s="499">
        <v>76</v>
      </c>
      <c r="F89" s="499" t="s">
        <v>647</v>
      </c>
      <c r="G89" s="500" t="s">
        <v>622</v>
      </c>
    </row>
    <row r="90" spans="1:7">
      <c r="A90" s="503">
        <v>0</v>
      </c>
      <c r="B90" s="503">
        <v>2555</v>
      </c>
      <c r="C90" s="504" t="s">
        <v>618</v>
      </c>
      <c r="D90" s="504" t="s">
        <v>619</v>
      </c>
      <c r="E90" s="503">
        <v>77</v>
      </c>
      <c r="F90" s="503" t="s">
        <v>648</v>
      </c>
      <c r="G90" s="504" t="s">
        <v>622</v>
      </c>
    </row>
    <row r="91" spans="1:7">
      <c r="A91" s="499">
        <v>0</v>
      </c>
      <c r="B91" s="499">
        <v>2555</v>
      </c>
      <c r="C91" s="500" t="s">
        <v>618</v>
      </c>
      <c r="D91" s="500" t="s">
        <v>619</v>
      </c>
      <c r="E91" s="499">
        <v>78</v>
      </c>
      <c r="F91" s="499" t="s">
        <v>649</v>
      </c>
      <c r="G91" s="500" t="s">
        <v>622</v>
      </c>
    </row>
    <row r="92" spans="1:7">
      <c r="A92" s="503">
        <v>0</v>
      </c>
      <c r="B92" s="503">
        <v>2555</v>
      </c>
      <c r="C92" s="504" t="s">
        <v>618</v>
      </c>
      <c r="D92" s="504" t="s">
        <v>619</v>
      </c>
      <c r="E92" s="503">
        <v>79</v>
      </c>
      <c r="F92" s="503" t="s">
        <v>650</v>
      </c>
      <c r="G92" s="504"/>
    </row>
    <row r="93" spans="1:7">
      <c r="A93" s="499" t="s">
        <v>619</v>
      </c>
      <c r="B93" s="499">
        <v>2555</v>
      </c>
      <c r="C93" s="500" t="s">
        <v>618</v>
      </c>
      <c r="D93" s="500" t="s">
        <v>619</v>
      </c>
      <c r="E93" s="499">
        <v>80</v>
      </c>
      <c r="F93" s="499" t="s">
        <v>651</v>
      </c>
      <c r="G93" s="500"/>
    </row>
    <row r="94" spans="1:7">
      <c r="A94" s="503" t="s">
        <v>619</v>
      </c>
      <c r="B94" s="503">
        <v>2555</v>
      </c>
      <c r="C94" s="504" t="s">
        <v>618</v>
      </c>
      <c r="D94" s="504" t="s">
        <v>619</v>
      </c>
      <c r="E94" s="503">
        <v>81</v>
      </c>
      <c r="F94" s="503" t="s">
        <v>652</v>
      </c>
      <c r="G94" s="504"/>
    </row>
    <row r="95" spans="1:7">
      <c r="A95" s="499" t="s">
        <v>619</v>
      </c>
      <c r="B95" s="499">
        <v>2555</v>
      </c>
      <c r="C95" s="500" t="s">
        <v>618</v>
      </c>
      <c r="D95" s="500" t="s">
        <v>619</v>
      </c>
      <c r="E95" s="499">
        <v>82</v>
      </c>
      <c r="F95" s="499" t="s">
        <v>653</v>
      </c>
      <c r="G95" s="500" t="s">
        <v>622</v>
      </c>
    </row>
    <row r="96" spans="1:7">
      <c r="A96" s="503">
        <v>0</v>
      </c>
      <c r="B96" s="503">
        <v>2555</v>
      </c>
      <c r="C96" s="504" t="s">
        <v>618</v>
      </c>
      <c r="D96" s="504" t="s">
        <v>619</v>
      </c>
      <c r="E96" s="503">
        <v>83</v>
      </c>
      <c r="F96" s="503" t="s">
        <v>654</v>
      </c>
      <c r="G96" s="504" t="s">
        <v>622</v>
      </c>
    </row>
    <row r="97" spans="1:7">
      <c r="A97" s="499">
        <v>0</v>
      </c>
      <c r="B97" s="499">
        <v>2555</v>
      </c>
      <c r="C97" s="500" t="s">
        <v>618</v>
      </c>
      <c r="D97" s="500" t="s">
        <v>619</v>
      </c>
      <c r="E97" s="499">
        <v>102</v>
      </c>
      <c r="F97" s="501" t="s">
        <v>655</v>
      </c>
      <c r="G97" s="502"/>
    </row>
    <row r="98" spans="1:7">
      <c r="A98" s="503">
        <v>0</v>
      </c>
      <c r="B98" s="503">
        <v>2555</v>
      </c>
      <c r="C98" s="504" t="s">
        <v>618</v>
      </c>
      <c r="D98" s="504" t="s">
        <v>619</v>
      </c>
      <c r="E98" s="503">
        <v>103</v>
      </c>
      <c r="F98" s="503" t="s">
        <v>656</v>
      </c>
      <c r="G98" s="504"/>
    </row>
    <row r="99" spans="1:7">
      <c r="A99" s="499" t="s">
        <v>619</v>
      </c>
      <c r="B99" s="499">
        <v>2555</v>
      </c>
      <c r="C99" s="500" t="s">
        <v>618</v>
      </c>
      <c r="D99" s="500" t="s">
        <v>619</v>
      </c>
      <c r="E99" s="499">
        <v>104</v>
      </c>
      <c r="F99" s="499" t="s">
        <v>657</v>
      </c>
      <c r="G99" s="500"/>
    </row>
    <row r="100" spans="1:7">
      <c r="A100" s="503" t="s">
        <v>619</v>
      </c>
      <c r="B100" s="503">
        <v>2555</v>
      </c>
      <c r="C100" s="504" t="s">
        <v>618</v>
      </c>
      <c r="D100" s="504" t="s">
        <v>619</v>
      </c>
      <c r="E100" s="503">
        <v>598</v>
      </c>
      <c r="F100" s="501" t="s">
        <v>658</v>
      </c>
      <c r="G100" s="502"/>
    </row>
    <row r="101" spans="1:7">
      <c r="A101" s="499">
        <v>0</v>
      </c>
      <c r="B101" s="499">
        <v>2555</v>
      </c>
      <c r="C101" s="500" t="s">
        <v>618</v>
      </c>
      <c r="D101" s="500" t="s">
        <v>619</v>
      </c>
      <c r="E101" s="499">
        <v>599</v>
      </c>
      <c r="F101" s="499" t="s">
        <v>659</v>
      </c>
      <c r="G101" s="500"/>
    </row>
    <row r="102" spans="1:7">
      <c r="A102" s="503" t="s">
        <v>619</v>
      </c>
      <c r="B102" s="503">
        <v>2555</v>
      </c>
      <c r="C102" s="504" t="s">
        <v>618</v>
      </c>
      <c r="D102" s="504" t="s">
        <v>619</v>
      </c>
      <c r="E102" s="503">
        <v>600</v>
      </c>
      <c r="F102" s="503" t="s">
        <v>660</v>
      </c>
      <c r="G102" s="504"/>
    </row>
    <row r="103" spans="1:7">
      <c r="A103" s="499" t="s">
        <v>619</v>
      </c>
      <c r="B103" s="499">
        <v>2555</v>
      </c>
      <c r="C103" s="500" t="s">
        <v>618</v>
      </c>
      <c r="D103" s="500" t="s">
        <v>619</v>
      </c>
      <c r="E103" s="499">
        <v>601</v>
      </c>
      <c r="F103" s="499" t="s">
        <v>661</v>
      </c>
      <c r="G103" s="500"/>
    </row>
    <row r="104" spans="1:7" ht="25.5">
      <c r="A104" s="503" t="s">
        <v>619</v>
      </c>
      <c r="B104" s="503">
        <v>2555</v>
      </c>
      <c r="C104" s="504" t="s">
        <v>618</v>
      </c>
      <c r="D104" s="504" t="s">
        <v>619</v>
      </c>
      <c r="E104" s="503">
        <v>597</v>
      </c>
      <c r="F104" s="501" t="s">
        <v>662</v>
      </c>
      <c r="G104" s="502"/>
    </row>
    <row r="105" spans="1:7">
      <c r="A105" s="499">
        <v>0</v>
      </c>
      <c r="B105" s="499">
        <v>2555</v>
      </c>
      <c r="C105" s="500" t="s">
        <v>618</v>
      </c>
      <c r="D105" s="500" t="s">
        <v>619</v>
      </c>
      <c r="E105" s="499">
        <v>107</v>
      </c>
      <c r="F105" s="501" t="s">
        <v>663</v>
      </c>
      <c r="G105" s="502"/>
    </row>
    <row r="106" spans="1:7">
      <c r="A106" s="503">
        <v>0</v>
      </c>
      <c r="B106" s="503">
        <v>2555</v>
      </c>
      <c r="C106" s="504" t="s">
        <v>618</v>
      </c>
      <c r="D106" s="504" t="s">
        <v>619</v>
      </c>
      <c r="E106" s="503">
        <v>108</v>
      </c>
      <c r="F106" s="503" t="s">
        <v>664</v>
      </c>
      <c r="G106" s="504"/>
    </row>
    <row r="107" spans="1:7">
      <c r="A107" s="499">
        <v>0</v>
      </c>
      <c r="B107" s="499">
        <v>2555</v>
      </c>
      <c r="C107" s="500" t="s">
        <v>618</v>
      </c>
      <c r="D107" s="500" t="s">
        <v>619</v>
      </c>
      <c r="E107" s="499">
        <v>109</v>
      </c>
      <c r="F107" s="499" t="s">
        <v>665</v>
      </c>
      <c r="G107" s="500"/>
    </row>
    <row r="108" spans="1:7">
      <c r="A108" s="503">
        <v>0</v>
      </c>
      <c r="B108" s="503">
        <v>2555</v>
      </c>
      <c r="C108" s="504" t="s">
        <v>618</v>
      </c>
      <c r="D108" s="504" t="s">
        <v>619</v>
      </c>
      <c r="E108" s="503">
        <v>110</v>
      </c>
      <c r="F108" s="503" t="s">
        <v>666</v>
      </c>
      <c r="G108" s="504"/>
    </row>
    <row r="109" spans="1:7">
      <c r="A109" s="499">
        <v>0</v>
      </c>
      <c r="B109" s="499">
        <v>2555</v>
      </c>
      <c r="C109" s="500" t="s">
        <v>618</v>
      </c>
      <c r="D109" s="500" t="s">
        <v>619</v>
      </c>
      <c r="E109" s="499">
        <v>111</v>
      </c>
      <c r="F109" s="501" t="s">
        <v>667</v>
      </c>
      <c r="G109" s="502"/>
    </row>
    <row r="110" spans="1:7">
      <c r="A110" s="503">
        <v>0</v>
      </c>
      <c r="B110" s="503">
        <v>2555</v>
      </c>
      <c r="C110" s="504" t="s">
        <v>618</v>
      </c>
      <c r="D110" s="504" t="s">
        <v>619</v>
      </c>
      <c r="E110" s="503">
        <v>112</v>
      </c>
      <c r="F110" s="503" t="s">
        <v>668</v>
      </c>
      <c r="G110" s="504"/>
    </row>
    <row r="111" spans="1:7">
      <c r="A111" s="499">
        <v>0</v>
      </c>
      <c r="B111" s="499">
        <v>2555</v>
      </c>
      <c r="C111" s="500" t="s">
        <v>618</v>
      </c>
      <c r="D111" s="500" t="s">
        <v>619</v>
      </c>
      <c r="E111" s="499">
        <v>113</v>
      </c>
      <c r="F111" s="499" t="s">
        <v>669</v>
      </c>
      <c r="G111" s="500"/>
    </row>
    <row r="112" spans="1:7">
      <c r="A112" s="503">
        <v>0</v>
      </c>
      <c r="B112" s="503">
        <v>2555</v>
      </c>
      <c r="C112" s="504" t="s">
        <v>618</v>
      </c>
      <c r="D112" s="504" t="s">
        <v>619</v>
      </c>
      <c r="E112" s="503">
        <v>114</v>
      </c>
      <c r="F112" s="503" t="s">
        <v>670</v>
      </c>
      <c r="G112" s="504"/>
    </row>
    <row r="113" spans="1:7">
      <c r="A113" s="499">
        <v>0</v>
      </c>
      <c r="B113" s="499">
        <v>2555</v>
      </c>
      <c r="C113" s="500" t="s">
        <v>618</v>
      </c>
      <c r="D113" s="500" t="s">
        <v>619</v>
      </c>
      <c r="E113" s="499">
        <v>115</v>
      </c>
      <c r="F113" s="501" t="s">
        <v>671</v>
      </c>
      <c r="G113" s="502"/>
    </row>
    <row r="114" spans="1:7">
      <c r="A114" s="503">
        <v>0</v>
      </c>
      <c r="B114" s="503">
        <v>2555</v>
      </c>
      <c r="C114" s="504" t="s">
        <v>618</v>
      </c>
      <c r="D114" s="504" t="s">
        <v>619</v>
      </c>
      <c r="E114" s="503">
        <v>116</v>
      </c>
      <c r="F114" s="503" t="s">
        <v>672</v>
      </c>
      <c r="G114" s="504"/>
    </row>
    <row r="115" spans="1:7">
      <c r="A115" s="499" t="s">
        <v>619</v>
      </c>
      <c r="B115" s="499">
        <v>2555</v>
      </c>
      <c r="C115" s="500" t="s">
        <v>618</v>
      </c>
      <c r="D115" s="500" t="s">
        <v>619</v>
      </c>
      <c r="E115" s="499">
        <v>117</v>
      </c>
      <c r="F115" s="499" t="s">
        <v>673</v>
      </c>
      <c r="G115" s="500"/>
    </row>
    <row r="116" spans="1:7">
      <c r="A116" s="503" t="s">
        <v>619</v>
      </c>
      <c r="B116" s="503">
        <v>2555</v>
      </c>
      <c r="C116" s="504" t="s">
        <v>618</v>
      </c>
      <c r="D116" s="504" t="s">
        <v>619</v>
      </c>
      <c r="E116" s="503">
        <v>118</v>
      </c>
      <c r="F116" s="503" t="s">
        <v>674</v>
      </c>
      <c r="G116" s="504"/>
    </row>
    <row r="117" spans="1:7">
      <c r="A117" s="499" t="s">
        <v>619</v>
      </c>
      <c r="B117" s="499">
        <v>2555</v>
      </c>
      <c r="C117" s="500" t="s">
        <v>618</v>
      </c>
      <c r="D117" s="500" t="s">
        <v>619</v>
      </c>
      <c r="E117" s="499">
        <v>119</v>
      </c>
      <c r="F117" s="501" t="s">
        <v>675</v>
      </c>
      <c r="G117" s="502"/>
    </row>
    <row r="118" spans="1:7">
      <c r="A118" s="503">
        <v>0</v>
      </c>
      <c r="B118" s="503">
        <v>2555</v>
      </c>
      <c r="C118" s="504" t="s">
        <v>618</v>
      </c>
      <c r="D118" s="504" t="s">
        <v>619</v>
      </c>
      <c r="E118" s="503">
        <v>120</v>
      </c>
      <c r="F118" s="503" t="s">
        <v>676</v>
      </c>
      <c r="G118" s="504"/>
    </row>
    <row r="119" spans="1:7">
      <c r="A119" s="499" t="s">
        <v>619</v>
      </c>
      <c r="B119" s="499">
        <v>2555</v>
      </c>
      <c r="C119" s="500" t="s">
        <v>618</v>
      </c>
      <c r="D119" s="500" t="s">
        <v>619</v>
      </c>
      <c r="E119" s="499">
        <v>121</v>
      </c>
      <c r="F119" s="499" t="s">
        <v>677</v>
      </c>
      <c r="G119" s="500"/>
    </row>
    <row r="120" spans="1:7">
      <c r="A120" s="503" t="s">
        <v>619</v>
      </c>
      <c r="B120" s="503">
        <v>2555</v>
      </c>
      <c r="C120" s="504" t="s">
        <v>618</v>
      </c>
      <c r="D120" s="504" t="s">
        <v>619</v>
      </c>
      <c r="E120" s="503">
        <v>122</v>
      </c>
      <c r="F120" s="503" t="s">
        <v>678</v>
      </c>
      <c r="G120" s="504"/>
    </row>
    <row r="121" spans="1:7">
      <c r="A121" s="499" t="s">
        <v>619</v>
      </c>
      <c r="B121" s="499">
        <v>2555</v>
      </c>
      <c r="C121" s="500" t="s">
        <v>618</v>
      </c>
      <c r="D121" s="500" t="s">
        <v>619</v>
      </c>
      <c r="E121" s="499">
        <v>595</v>
      </c>
      <c r="F121" s="501" t="s">
        <v>679</v>
      </c>
      <c r="G121" s="502"/>
    </row>
    <row r="122" spans="1:7">
      <c r="A122" s="503">
        <v>0</v>
      </c>
      <c r="B122" s="503">
        <v>2555</v>
      </c>
      <c r="C122" s="504" t="s">
        <v>618</v>
      </c>
      <c r="D122" s="504" t="s">
        <v>619</v>
      </c>
      <c r="E122" s="503">
        <v>123</v>
      </c>
      <c r="F122" s="501" t="s">
        <v>680</v>
      </c>
      <c r="G122" s="502"/>
    </row>
    <row r="123" spans="1:7">
      <c r="A123" s="499">
        <v>0</v>
      </c>
      <c r="B123" s="499">
        <v>2555</v>
      </c>
      <c r="C123" s="500" t="s">
        <v>618</v>
      </c>
      <c r="D123" s="500" t="s">
        <v>619</v>
      </c>
      <c r="E123" s="499">
        <v>124</v>
      </c>
      <c r="F123" s="499" t="s">
        <v>623</v>
      </c>
      <c r="G123" s="500"/>
    </row>
    <row r="124" spans="1:7">
      <c r="A124" s="503" t="s">
        <v>619</v>
      </c>
      <c r="B124" s="503">
        <v>2555</v>
      </c>
      <c r="C124" s="504" t="s">
        <v>618</v>
      </c>
      <c r="D124" s="504" t="s">
        <v>619</v>
      </c>
      <c r="E124" s="503">
        <v>125</v>
      </c>
      <c r="F124" s="503" t="s">
        <v>624</v>
      </c>
      <c r="G124" s="504"/>
    </row>
    <row r="125" spans="1:7">
      <c r="A125" s="499" t="s">
        <v>619</v>
      </c>
      <c r="B125" s="499">
        <v>2555</v>
      </c>
      <c r="C125" s="500" t="s">
        <v>618</v>
      </c>
      <c r="D125" s="500" t="s">
        <v>619</v>
      </c>
      <c r="E125" s="499">
        <v>126</v>
      </c>
      <c r="F125" s="499" t="s">
        <v>625</v>
      </c>
      <c r="G125" s="500"/>
    </row>
    <row r="126" spans="1:7">
      <c r="A126" s="503" t="s">
        <v>619</v>
      </c>
      <c r="B126" s="503">
        <v>2555</v>
      </c>
      <c r="C126" s="504" t="s">
        <v>618</v>
      </c>
      <c r="D126" s="504" t="s">
        <v>619</v>
      </c>
      <c r="E126" s="503">
        <v>127</v>
      </c>
      <c r="F126" s="503" t="s">
        <v>635</v>
      </c>
      <c r="G126" s="504"/>
    </row>
    <row r="127" spans="1:7">
      <c r="A127" s="499" t="s">
        <v>619</v>
      </c>
      <c r="B127" s="499">
        <v>2555</v>
      </c>
      <c r="C127" s="500" t="s">
        <v>618</v>
      </c>
      <c r="D127" s="500" t="s">
        <v>619</v>
      </c>
      <c r="E127" s="499">
        <v>128</v>
      </c>
      <c r="F127" s="499" t="s">
        <v>630</v>
      </c>
      <c r="G127" s="500"/>
    </row>
    <row r="128" spans="1:7">
      <c r="A128" s="503" t="s">
        <v>619</v>
      </c>
      <c r="B128" s="503">
        <v>2555</v>
      </c>
      <c r="C128" s="504" t="s">
        <v>618</v>
      </c>
      <c r="D128" s="504" t="s">
        <v>619</v>
      </c>
      <c r="E128" s="503">
        <v>129</v>
      </c>
      <c r="F128" s="503" t="s">
        <v>631</v>
      </c>
      <c r="G128" s="504"/>
    </row>
    <row r="129" spans="1:7">
      <c r="A129" s="499" t="s">
        <v>619</v>
      </c>
      <c r="B129" s="499">
        <v>2555</v>
      </c>
      <c r="C129" s="500" t="s">
        <v>618</v>
      </c>
      <c r="D129" s="500" t="s">
        <v>619</v>
      </c>
      <c r="E129" s="499">
        <v>130</v>
      </c>
      <c r="F129" s="501" t="s">
        <v>681</v>
      </c>
      <c r="G129" s="502"/>
    </row>
    <row r="130" spans="1:7">
      <c r="A130" s="503">
        <v>0</v>
      </c>
      <c r="B130" s="503">
        <v>2555</v>
      </c>
      <c r="C130" s="504" t="s">
        <v>618</v>
      </c>
      <c r="D130" s="504" t="s">
        <v>619</v>
      </c>
      <c r="E130" s="503">
        <v>131</v>
      </c>
      <c r="F130" s="501" t="s">
        <v>682</v>
      </c>
      <c r="G130" s="502"/>
    </row>
    <row r="131" spans="1:7" ht="25.5">
      <c r="A131" s="499">
        <v>0</v>
      </c>
      <c r="B131" s="499">
        <v>2555</v>
      </c>
      <c r="C131" s="500" t="s">
        <v>618</v>
      </c>
      <c r="D131" s="500" t="s">
        <v>619</v>
      </c>
      <c r="E131" s="499">
        <v>132</v>
      </c>
      <c r="F131" s="501" t="s">
        <v>683</v>
      </c>
      <c r="G131" s="502"/>
    </row>
    <row r="132" spans="1:7" ht="25.5">
      <c r="A132" s="503">
        <v>0</v>
      </c>
      <c r="B132" s="503">
        <v>2555</v>
      </c>
      <c r="C132" s="504" t="s">
        <v>618</v>
      </c>
      <c r="D132" s="504" t="s">
        <v>619</v>
      </c>
      <c r="E132" s="503">
        <v>133</v>
      </c>
      <c r="F132" s="501" t="s">
        <v>684</v>
      </c>
      <c r="G132" s="502"/>
    </row>
    <row r="133" spans="1:7" ht="38.25">
      <c r="A133" s="499">
        <v>0</v>
      </c>
      <c r="B133" s="499">
        <v>2555</v>
      </c>
      <c r="C133" s="500" t="s">
        <v>618</v>
      </c>
      <c r="D133" s="500" t="s">
        <v>619</v>
      </c>
      <c r="E133" s="499">
        <v>134</v>
      </c>
      <c r="F133" s="501" t="s">
        <v>685</v>
      </c>
      <c r="G133" s="502"/>
    </row>
    <row r="134" spans="1:7" ht="38.25">
      <c r="A134" s="503">
        <v>0</v>
      </c>
      <c r="B134" s="503">
        <v>2555</v>
      </c>
      <c r="C134" s="504" t="s">
        <v>618</v>
      </c>
      <c r="D134" s="504" t="s">
        <v>619</v>
      </c>
      <c r="E134" s="503">
        <v>135</v>
      </c>
      <c r="F134" s="501" t="s">
        <v>686</v>
      </c>
      <c r="G134" s="502"/>
    </row>
    <row r="135" spans="1:7" ht="25.5">
      <c r="A135" s="499">
        <v>0</v>
      </c>
      <c r="B135" s="499">
        <v>2555</v>
      </c>
      <c r="C135" s="500" t="s">
        <v>618</v>
      </c>
      <c r="D135" s="500" t="s">
        <v>619</v>
      </c>
      <c r="E135" s="499">
        <v>136</v>
      </c>
      <c r="F135" s="501" t="s">
        <v>687</v>
      </c>
      <c r="G135" s="502" t="s">
        <v>622</v>
      </c>
    </row>
    <row r="136" spans="1:7">
      <c r="A136" s="503">
        <v>0</v>
      </c>
      <c r="B136" s="503">
        <v>2555</v>
      </c>
      <c r="C136" s="504" t="s">
        <v>618</v>
      </c>
      <c r="D136" s="504" t="s">
        <v>619</v>
      </c>
      <c r="E136" s="503">
        <v>137</v>
      </c>
      <c r="F136" s="503" t="s">
        <v>623</v>
      </c>
      <c r="G136" s="504" t="s">
        <v>622</v>
      </c>
    </row>
    <row r="137" spans="1:7">
      <c r="A137" s="499">
        <v>0</v>
      </c>
      <c r="B137" s="499">
        <v>2555</v>
      </c>
      <c r="C137" s="500" t="s">
        <v>618</v>
      </c>
      <c r="D137" s="500" t="s">
        <v>619</v>
      </c>
      <c r="E137" s="499">
        <v>138</v>
      </c>
      <c r="F137" s="499" t="s">
        <v>624</v>
      </c>
      <c r="G137" s="500" t="s">
        <v>622</v>
      </c>
    </row>
    <row r="138" spans="1:7">
      <c r="A138" s="503">
        <v>0</v>
      </c>
      <c r="B138" s="503">
        <v>2555</v>
      </c>
      <c r="C138" s="504" t="s">
        <v>618</v>
      </c>
      <c r="D138" s="504" t="s">
        <v>619</v>
      </c>
      <c r="E138" s="503">
        <v>139</v>
      </c>
      <c r="F138" s="503" t="s">
        <v>625</v>
      </c>
      <c r="G138" s="504" t="s">
        <v>622</v>
      </c>
    </row>
    <row r="139" spans="1:7">
      <c r="A139" s="499">
        <v>0</v>
      </c>
      <c r="B139" s="499">
        <v>2555</v>
      </c>
      <c r="C139" s="500" t="s">
        <v>618</v>
      </c>
      <c r="D139" s="500" t="s">
        <v>619</v>
      </c>
      <c r="E139" s="499">
        <v>140</v>
      </c>
      <c r="F139" s="499" t="s">
        <v>635</v>
      </c>
      <c r="G139" s="500" t="s">
        <v>622</v>
      </c>
    </row>
    <row r="140" spans="1:7">
      <c r="A140" s="503">
        <v>0</v>
      </c>
      <c r="B140" s="503">
        <v>2555</v>
      </c>
      <c r="C140" s="504" t="s">
        <v>618</v>
      </c>
      <c r="D140" s="504" t="s">
        <v>619</v>
      </c>
      <c r="E140" s="503">
        <v>142</v>
      </c>
      <c r="F140" s="503" t="s">
        <v>630</v>
      </c>
      <c r="G140" s="504" t="s">
        <v>622</v>
      </c>
    </row>
    <row r="141" spans="1:7">
      <c r="A141" s="499">
        <v>0</v>
      </c>
      <c r="B141" s="499">
        <v>2555</v>
      </c>
      <c r="C141" s="500" t="s">
        <v>618</v>
      </c>
      <c r="D141" s="500" t="s">
        <v>619</v>
      </c>
      <c r="E141" s="499">
        <v>143</v>
      </c>
      <c r="F141" s="499" t="s">
        <v>645</v>
      </c>
      <c r="G141" s="500" t="s">
        <v>622</v>
      </c>
    </row>
    <row r="142" spans="1:7">
      <c r="A142" s="503">
        <v>0</v>
      </c>
      <c r="B142" s="503">
        <v>2555</v>
      </c>
      <c r="C142" s="504" t="s">
        <v>618</v>
      </c>
      <c r="D142" s="504" t="s">
        <v>619</v>
      </c>
      <c r="E142" s="503">
        <v>84</v>
      </c>
      <c r="F142" s="501" t="s">
        <v>688</v>
      </c>
      <c r="G142" s="502"/>
    </row>
    <row r="143" spans="1:7">
      <c r="A143" s="499">
        <v>0</v>
      </c>
      <c r="B143" s="499">
        <v>2555</v>
      </c>
      <c r="C143" s="500" t="s">
        <v>618</v>
      </c>
      <c r="D143" s="500" t="s">
        <v>619</v>
      </c>
      <c r="E143" s="499">
        <v>85</v>
      </c>
      <c r="F143" s="501" t="s">
        <v>689</v>
      </c>
      <c r="G143" s="502"/>
    </row>
    <row r="144" spans="1:7">
      <c r="A144" s="503">
        <v>0</v>
      </c>
      <c r="B144" s="503">
        <v>2555</v>
      </c>
      <c r="C144" s="504" t="s">
        <v>618</v>
      </c>
      <c r="D144" s="504" t="s">
        <v>619</v>
      </c>
      <c r="E144" s="503">
        <v>86</v>
      </c>
      <c r="F144" s="501" t="s">
        <v>690</v>
      </c>
      <c r="G144" s="502"/>
    </row>
    <row r="145" spans="1:7">
      <c r="A145" s="499">
        <v>0</v>
      </c>
      <c r="B145" s="499">
        <v>2555</v>
      </c>
      <c r="C145" s="500" t="s">
        <v>618</v>
      </c>
      <c r="D145" s="500" t="s">
        <v>619</v>
      </c>
      <c r="E145" s="499">
        <v>87</v>
      </c>
      <c r="F145" s="501" t="s">
        <v>691</v>
      </c>
      <c r="G145" s="502"/>
    </row>
    <row r="146" spans="1:7">
      <c r="A146" s="503">
        <v>0</v>
      </c>
      <c r="B146" s="503">
        <v>2555</v>
      </c>
      <c r="C146" s="504" t="s">
        <v>618</v>
      </c>
      <c r="D146" s="504" t="s">
        <v>619</v>
      </c>
      <c r="E146" s="503">
        <v>88</v>
      </c>
      <c r="F146" s="501" t="s">
        <v>692</v>
      </c>
      <c r="G146" s="502"/>
    </row>
    <row r="147" spans="1:7">
      <c r="A147" s="499">
        <v>0</v>
      </c>
      <c r="B147" s="499">
        <v>2555</v>
      </c>
      <c r="C147" s="500" t="s">
        <v>618</v>
      </c>
      <c r="D147" s="500" t="s">
        <v>619</v>
      </c>
      <c r="E147" s="499">
        <v>681</v>
      </c>
      <c r="F147" s="501" t="s">
        <v>693</v>
      </c>
      <c r="G147" s="502"/>
    </row>
    <row r="148" spans="1:7">
      <c r="A148" s="503">
        <v>0</v>
      </c>
      <c r="B148" s="503">
        <v>2555</v>
      </c>
      <c r="C148" s="504" t="s">
        <v>618</v>
      </c>
      <c r="D148" s="504" t="s">
        <v>619</v>
      </c>
      <c r="E148" s="503">
        <v>89</v>
      </c>
      <c r="F148" s="501" t="s">
        <v>694</v>
      </c>
      <c r="G148" s="502"/>
    </row>
    <row r="149" spans="1:7">
      <c r="A149" s="499">
        <v>0</v>
      </c>
      <c r="B149" s="499">
        <v>2555</v>
      </c>
      <c r="C149" s="500" t="s">
        <v>618</v>
      </c>
      <c r="D149" s="500" t="s">
        <v>619</v>
      </c>
      <c r="E149" s="499">
        <v>682</v>
      </c>
      <c r="F149" s="501" t="s">
        <v>695</v>
      </c>
      <c r="G149" s="502"/>
    </row>
    <row r="150" spans="1:7">
      <c r="A150" s="503">
        <v>0</v>
      </c>
      <c r="B150" s="503">
        <v>2555</v>
      </c>
      <c r="C150" s="504" t="s">
        <v>618</v>
      </c>
      <c r="D150" s="504" t="s">
        <v>619</v>
      </c>
      <c r="E150" s="503">
        <v>683</v>
      </c>
      <c r="F150" s="501" t="s">
        <v>696</v>
      </c>
      <c r="G150" s="502"/>
    </row>
    <row r="151" spans="1:7">
      <c r="A151" s="499">
        <v>0</v>
      </c>
      <c r="B151" s="499">
        <v>2555</v>
      </c>
      <c r="C151" s="500" t="s">
        <v>618</v>
      </c>
      <c r="D151" s="500" t="s">
        <v>619</v>
      </c>
      <c r="E151" s="499">
        <v>90</v>
      </c>
      <c r="F151" s="501" t="s">
        <v>697</v>
      </c>
      <c r="G151" s="502"/>
    </row>
    <row r="152" spans="1:7">
      <c r="A152" s="503">
        <v>0</v>
      </c>
      <c r="B152" s="503">
        <v>2555</v>
      </c>
      <c r="C152" s="504" t="s">
        <v>618</v>
      </c>
      <c r="D152" s="504" t="s">
        <v>619</v>
      </c>
      <c r="E152" s="503">
        <v>669</v>
      </c>
      <c r="F152" s="501" t="s">
        <v>698</v>
      </c>
      <c r="G152" s="502" t="s">
        <v>622</v>
      </c>
    </row>
    <row r="153" spans="1:7">
      <c r="A153" s="499">
        <v>0</v>
      </c>
      <c r="B153" s="499">
        <v>2555</v>
      </c>
      <c r="C153" s="500" t="s">
        <v>618</v>
      </c>
      <c r="D153" s="500" t="s">
        <v>619</v>
      </c>
      <c r="E153" s="499">
        <v>670</v>
      </c>
      <c r="F153" s="501" t="s">
        <v>699</v>
      </c>
      <c r="G153" s="502" t="s">
        <v>622</v>
      </c>
    </row>
    <row r="154" spans="1:7">
      <c r="A154" s="503">
        <v>0</v>
      </c>
      <c r="B154" s="503">
        <v>2555</v>
      </c>
      <c r="C154" s="504" t="s">
        <v>618</v>
      </c>
      <c r="D154" s="504" t="s">
        <v>619</v>
      </c>
      <c r="E154" s="503">
        <v>671</v>
      </c>
      <c r="F154" s="501" t="s">
        <v>700</v>
      </c>
      <c r="G154" s="502" t="s">
        <v>622</v>
      </c>
    </row>
    <row r="155" spans="1:7">
      <c r="A155" s="499">
        <v>0</v>
      </c>
      <c r="B155" s="499">
        <v>2555</v>
      </c>
      <c r="C155" s="500" t="s">
        <v>618</v>
      </c>
      <c r="D155" s="500" t="s">
        <v>619</v>
      </c>
      <c r="E155" s="499">
        <v>93</v>
      </c>
      <c r="F155" s="501" t="s">
        <v>701</v>
      </c>
      <c r="G155" s="502" t="s">
        <v>622</v>
      </c>
    </row>
    <row r="156" spans="1:7">
      <c r="A156" s="503">
        <v>0</v>
      </c>
      <c r="B156" s="503">
        <v>2555</v>
      </c>
      <c r="C156" s="504" t="s">
        <v>618</v>
      </c>
      <c r="D156" s="504" t="s">
        <v>619</v>
      </c>
      <c r="E156" s="503">
        <v>94</v>
      </c>
      <c r="F156" s="501" t="s">
        <v>702</v>
      </c>
      <c r="G156" s="502" t="s">
        <v>622</v>
      </c>
    </row>
    <row r="157" spans="1:7" ht="25.5">
      <c r="A157" s="499">
        <v>0</v>
      </c>
      <c r="B157" s="499">
        <v>2555</v>
      </c>
      <c r="C157" s="500" t="s">
        <v>618</v>
      </c>
      <c r="D157" s="500" t="s">
        <v>619</v>
      </c>
      <c r="E157" s="499">
        <v>95</v>
      </c>
      <c r="F157" s="501" t="s">
        <v>703</v>
      </c>
      <c r="G157" s="502" t="s">
        <v>622</v>
      </c>
    </row>
    <row r="158" spans="1:7">
      <c r="A158" s="503">
        <v>0</v>
      </c>
      <c r="B158" s="503">
        <v>2555</v>
      </c>
      <c r="C158" s="504" t="s">
        <v>618</v>
      </c>
      <c r="D158" s="504" t="s">
        <v>619</v>
      </c>
      <c r="E158" s="503">
        <v>96</v>
      </c>
      <c r="F158" s="501" t="s">
        <v>704</v>
      </c>
      <c r="G158" s="502" t="s">
        <v>622</v>
      </c>
    </row>
    <row r="159" spans="1:7">
      <c r="A159" s="499">
        <v>0</v>
      </c>
      <c r="B159" s="499">
        <v>2555</v>
      </c>
      <c r="C159" s="500" t="s">
        <v>618</v>
      </c>
      <c r="D159" s="500" t="s">
        <v>619</v>
      </c>
      <c r="E159" s="499">
        <v>97</v>
      </c>
      <c r="F159" s="501" t="s">
        <v>705</v>
      </c>
      <c r="G159" s="502" t="s">
        <v>622</v>
      </c>
    </row>
    <row r="160" spans="1:7" ht="25.5">
      <c r="A160" s="503">
        <v>0</v>
      </c>
      <c r="B160" s="503">
        <v>2555</v>
      </c>
      <c r="C160" s="504" t="s">
        <v>618</v>
      </c>
      <c r="D160" s="504" t="s">
        <v>619</v>
      </c>
      <c r="E160" s="503">
        <v>98</v>
      </c>
      <c r="F160" s="501" t="s">
        <v>706</v>
      </c>
      <c r="G160" s="502" t="s">
        <v>622</v>
      </c>
    </row>
    <row r="161" spans="1:7">
      <c r="A161" s="499">
        <v>0</v>
      </c>
      <c r="B161" s="499">
        <v>2555</v>
      </c>
      <c r="C161" s="500" t="s">
        <v>618</v>
      </c>
      <c r="D161" s="500" t="s">
        <v>619</v>
      </c>
      <c r="E161" s="499">
        <v>99</v>
      </c>
      <c r="F161" s="501" t="s">
        <v>707</v>
      </c>
      <c r="G161" s="502" t="s">
        <v>622</v>
      </c>
    </row>
    <row r="162" spans="1:7">
      <c r="A162" s="503">
        <v>0</v>
      </c>
      <c r="B162" s="503">
        <v>2555</v>
      </c>
      <c r="C162" s="504" t="s">
        <v>618</v>
      </c>
      <c r="D162" s="504" t="s">
        <v>619</v>
      </c>
      <c r="E162" s="503">
        <v>100</v>
      </c>
      <c r="F162" s="501" t="s">
        <v>708</v>
      </c>
      <c r="G162" s="502" t="s">
        <v>622</v>
      </c>
    </row>
    <row r="163" spans="1:7" ht="25.5">
      <c r="A163" s="499">
        <v>0</v>
      </c>
      <c r="B163" s="499">
        <v>2555</v>
      </c>
      <c r="C163" s="500" t="s">
        <v>618</v>
      </c>
      <c r="D163" s="500" t="s">
        <v>619</v>
      </c>
      <c r="E163" s="499">
        <v>101</v>
      </c>
      <c r="F163" s="501" t="s">
        <v>709</v>
      </c>
      <c r="G163" s="502" t="s">
        <v>622</v>
      </c>
    </row>
    <row r="164" spans="1:7">
      <c r="A164" s="503">
        <v>0</v>
      </c>
      <c r="B164" s="503">
        <v>2555</v>
      </c>
      <c r="C164" s="504" t="s">
        <v>618</v>
      </c>
      <c r="D164" s="504" t="s">
        <v>619</v>
      </c>
      <c r="E164" s="503">
        <v>691</v>
      </c>
      <c r="F164" s="501" t="s">
        <v>710</v>
      </c>
      <c r="G164" s="502"/>
    </row>
    <row r="165" spans="1:7">
      <c r="A165" s="499">
        <v>0</v>
      </c>
      <c r="B165" s="499">
        <v>2555</v>
      </c>
      <c r="C165" s="500" t="s">
        <v>618</v>
      </c>
      <c r="D165" s="500" t="s">
        <v>619</v>
      </c>
      <c r="E165" s="499">
        <v>692</v>
      </c>
      <c r="F165" s="501" t="s">
        <v>711</v>
      </c>
      <c r="G165" s="502"/>
    </row>
    <row r="166" spans="1:7">
      <c r="A166" s="503">
        <v>0</v>
      </c>
      <c r="B166" s="503">
        <v>2555</v>
      </c>
      <c r="C166" s="504" t="s">
        <v>618</v>
      </c>
      <c r="D166" s="504" t="s">
        <v>619</v>
      </c>
      <c r="E166" s="503">
        <v>602</v>
      </c>
      <c r="F166" s="501" t="s">
        <v>712</v>
      </c>
      <c r="G166" s="502" t="s">
        <v>622</v>
      </c>
    </row>
    <row r="167" spans="1:7" ht="38.25">
      <c r="A167" s="499">
        <v>0</v>
      </c>
      <c r="B167" s="499">
        <v>2555</v>
      </c>
      <c r="C167" s="500" t="s">
        <v>618</v>
      </c>
      <c r="D167" s="500" t="s">
        <v>619</v>
      </c>
      <c r="E167" s="499">
        <v>165</v>
      </c>
      <c r="F167" s="501" t="s">
        <v>713</v>
      </c>
      <c r="G167" s="502" t="s">
        <v>622</v>
      </c>
    </row>
    <row r="168" spans="1:7">
      <c r="A168" s="503">
        <v>0</v>
      </c>
      <c r="B168" s="503">
        <v>2555</v>
      </c>
      <c r="C168" s="504" t="s">
        <v>618</v>
      </c>
      <c r="D168" s="504" t="s">
        <v>619</v>
      </c>
      <c r="E168" s="503">
        <v>672</v>
      </c>
      <c r="F168" s="503" t="s">
        <v>714</v>
      </c>
      <c r="G168" s="504" t="s">
        <v>622</v>
      </c>
    </row>
    <row r="169" spans="1:7">
      <c r="A169" s="499">
        <v>0</v>
      </c>
      <c r="B169" s="499">
        <v>2555</v>
      </c>
      <c r="C169" s="500" t="s">
        <v>618</v>
      </c>
      <c r="D169" s="500" t="s">
        <v>619</v>
      </c>
      <c r="E169" s="499">
        <v>166</v>
      </c>
      <c r="F169" s="499" t="s">
        <v>715</v>
      </c>
      <c r="G169" s="500" t="s">
        <v>622</v>
      </c>
    </row>
    <row r="170" spans="1:7" ht="25.5">
      <c r="A170" s="503">
        <v>0</v>
      </c>
      <c r="B170" s="503">
        <v>2555</v>
      </c>
      <c r="C170" s="504" t="s">
        <v>618</v>
      </c>
      <c r="D170" s="504" t="s">
        <v>619</v>
      </c>
      <c r="E170" s="503">
        <v>167</v>
      </c>
      <c r="F170" s="503" t="s">
        <v>716</v>
      </c>
      <c r="G170" s="504" t="s">
        <v>622</v>
      </c>
    </row>
    <row r="171" spans="1:7">
      <c r="A171" s="499">
        <v>0</v>
      </c>
      <c r="B171" s="499">
        <v>2555</v>
      </c>
      <c r="C171" s="500" t="s">
        <v>618</v>
      </c>
      <c r="D171" s="500" t="s">
        <v>619</v>
      </c>
      <c r="E171" s="499">
        <v>170</v>
      </c>
      <c r="F171" s="499" t="s">
        <v>717</v>
      </c>
      <c r="G171" s="500" t="s">
        <v>622</v>
      </c>
    </row>
    <row r="172" spans="1:7">
      <c r="A172" s="503">
        <v>0</v>
      </c>
      <c r="B172" s="503">
        <v>2555</v>
      </c>
      <c r="C172" s="504" t="s">
        <v>618</v>
      </c>
      <c r="D172" s="504" t="s">
        <v>619</v>
      </c>
      <c r="E172" s="503">
        <v>175</v>
      </c>
      <c r="F172" s="501" t="s">
        <v>718</v>
      </c>
      <c r="G172" s="502" t="s">
        <v>622</v>
      </c>
    </row>
    <row r="173" spans="1:7">
      <c r="A173" s="499">
        <v>0</v>
      </c>
      <c r="B173" s="499">
        <v>2555</v>
      </c>
      <c r="C173" s="500" t="s">
        <v>618</v>
      </c>
      <c r="D173" s="500" t="s">
        <v>619</v>
      </c>
      <c r="E173" s="499">
        <v>176</v>
      </c>
      <c r="F173" s="499" t="s">
        <v>719</v>
      </c>
      <c r="G173" s="500" t="s">
        <v>622</v>
      </c>
    </row>
    <row r="174" spans="1:7">
      <c r="A174" s="503">
        <v>0</v>
      </c>
      <c r="B174" s="503">
        <v>2555</v>
      </c>
      <c r="C174" s="504" t="s">
        <v>618</v>
      </c>
      <c r="D174" s="504" t="s">
        <v>619</v>
      </c>
      <c r="E174" s="503">
        <v>177</v>
      </c>
      <c r="F174" s="503" t="s">
        <v>720</v>
      </c>
      <c r="G174" s="504" t="s">
        <v>622</v>
      </c>
    </row>
    <row r="175" spans="1:7">
      <c r="A175" s="499">
        <v>0</v>
      </c>
      <c r="B175" s="499">
        <v>2555</v>
      </c>
      <c r="C175" s="500" t="s">
        <v>618</v>
      </c>
      <c r="D175" s="500" t="s">
        <v>619</v>
      </c>
      <c r="E175" s="499">
        <v>178</v>
      </c>
      <c r="F175" s="499" t="s">
        <v>721</v>
      </c>
      <c r="G175" s="500" t="s">
        <v>622</v>
      </c>
    </row>
    <row r="176" spans="1:7">
      <c r="A176" s="503">
        <v>0</v>
      </c>
      <c r="B176" s="503">
        <v>2555</v>
      </c>
      <c r="C176" s="504" t="s">
        <v>618</v>
      </c>
      <c r="D176" s="504" t="s">
        <v>619</v>
      </c>
      <c r="E176" s="503">
        <v>179</v>
      </c>
      <c r="F176" s="503" t="s">
        <v>722</v>
      </c>
      <c r="G176" s="504" t="s">
        <v>622</v>
      </c>
    </row>
    <row r="177" spans="1:7">
      <c r="A177" s="499">
        <v>0</v>
      </c>
      <c r="B177" s="499">
        <v>2555</v>
      </c>
      <c r="C177" s="500" t="s">
        <v>618</v>
      </c>
      <c r="D177" s="500" t="s">
        <v>619</v>
      </c>
      <c r="E177" s="499">
        <v>180</v>
      </c>
      <c r="F177" s="499" t="s">
        <v>723</v>
      </c>
      <c r="G177" s="500" t="s">
        <v>622</v>
      </c>
    </row>
    <row r="178" spans="1:7">
      <c r="A178" s="503">
        <v>0</v>
      </c>
      <c r="B178" s="503">
        <v>2555</v>
      </c>
      <c r="C178" s="504" t="s">
        <v>618</v>
      </c>
      <c r="D178" s="504" t="s">
        <v>619</v>
      </c>
      <c r="E178" s="503">
        <v>91</v>
      </c>
      <c r="F178" s="501" t="s">
        <v>724</v>
      </c>
      <c r="G178" s="502" t="s">
        <v>622</v>
      </c>
    </row>
    <row r="179" spans="1:7">
      <c r="A179" s="499">
        <v>0</v>
      </c>
      <c r="B179" s="499">
        <v>2555</v>
      </c>
      <c r="C179" s="500" t="s">
        <v>618</v>
      </c>
      <c r="D179" s="500" t="s">
        <v>619</v>
      </c>
      <c r="E179" s="499">
        <v>181</v>
      </c>
      <c r="F179" s="501" t="s">
        <v>725</v>
      </c>
      <c r="G179" s="502" t="s">
        <v>622</v>
      </c>
    </row>
    <row r="180" spans="1:7" ht="25.5">
      <c r="A180" s="503">
        <v>0</v>
      </c>
      <c r="B180" s="503">
        <v>2555</v>
      </c>
      <c r="C180" s="504" t="s">
        <v>618</v>
      </c>
      <c r="D180" s="504" t="s">
        <v>619</v>
      </c>
      <c r="E180" s="503">
        <v>183</v>
      </c>
      <c r="F180" s="503" t="s">
        <v>726</v>
      </c>
      <c r="G180" s="504" t="s">
        <v>622</v>
      </c>
    </row>
    <row r="181" spans="1:7" ht="25.5">
      <c r="A181" s="499">
        <v>0</v>
      </c>
      <c r="B181" s="499">
        <v>2555</v>
      </c>
      <c r="C181" s="500" t="s">
        <v>618</v>
      </c>
      <c r="D181" s="500" t="s">
        <v>619</v>
      </c>
      <c r="E181" s="499">
        <v>184</v>
      </c>
      <c r="F181" s="499" t="s">
        <v>727</v>
      </c>
      <c r="G181" s="500" t="s">
        <v>622</v>
      </c>
    </row>
    <row r="182" spans="1:7" ht="25.5">
      <c r="A182" s="503">
        <v>0</v>
      </c>
      <c r="B182" s="503">
        <v>2555</v>
      </c>
      <c r="C182" s="504" t="s">
        <v>618</v>
      </c>
      <c r="D182" s="504" t="s">
        <v>619</v>
      </c>
      <c r="E182" s="503">
        <v>185</v>
      </c>
      <c r="F182" s="503" t="s">
        <v>728</v>
      </c>
      <c r="G182" s="504" t="s">
        <v>622</v>
      </c>
    </row>
    <row r="183" spans="1:7" ht="38.25">
      <c r="A183" s="499">
        <v>0</v>
      </c>
      <c r="B183" s="499">
        <v>2555</v>
      </c>
      <c r="C183" s="500" t="s">
        <v>618</v>
      </c>
      <c r="D183" s="500" t="s">
        <v>619</v>
      </c>
      <c r="E183" s="499">
        <v>186</v>
      </c>
      <c r="F183" s="499" t="s">
        <v>729</v>
      </c>
      <c r="G183" s="500" t="s">
        <v>622</v>
      </c>
    </row>
    <row r="184" spans="1:7">
      <c r="A184" s="503">
        <v>0</v>
      </c>
      <c r="B184" s="503">
        <v>2555</v>
      </c>
      <c r="C184" s="504" t="s">
        <v>618</v>
      </c>
      <c r="D184" s="504" t="s">
        <v>619</v>
      </c>
      <c r="E184" s="503">
        <v>588</v>
      </c>
      <c r="F184" s="501" t="s">
        <v>730</v>
      </c>
      <c r="G184" s="502" t="s">
        <v>622</v>
      </c>
    </row>
    <row r="185" spans="1:7">
      <c r="A185" s="499">
        <v>0</v>
      </c>
      <c r="B185" s="499">
        <v>2555</v>
      </c>
      <c r="C185" s="500" t="s">
        <v>618</v>
      </c>
      <c r="D185" s="500" t="s">
        <v>619</v>
      </c>
      <c r="E185" s="499">
        <v>589</v>
      </c>
      <c r="F185" s="499" t="s">
        <v>719</v>
      </c>
      <c r="G185" s="500" t="s">
        <v>622</v>
      </c>
    </row>
    <row r="186" spans="1:7">
      <c r="A186" s="503">
        <v>0</v>
      </c>
      <c r="B186" s="503">
        <v>2555</v>
      </c>
      <c r="C186" s="504" t="s">
        <v>618</v>
      </c>
      <c r="D186" s="504" t="s">
        <v>619</v>
      </c>
      <c r="E186" s="503">
        <v>590</v>
      </c>
      <c r="F186" s="503" t="s">
        <v>720</v>
      </c>
      <c r="G186" s="504" t="s">
        <v>622</v>
      </c>
    </row>
    <row r="187" spans="1:7">
      <c r="A187" s="499">
        <v>0</v>
      </c>
      <c r="B187" s="499">
        <v>2555</v>
      </c>
      <c r="C187" s="500" t="s">
        <v>618</v>
      </c>
      <c r="D187" s="500" t="s">
        <v>619</v>
      </c>
      <c r="E187" s="499">
        <v>591</v>
      </c>
      <c r="F187" s="499" t="s">
        <v>721</v>
      </c>
      <c r="G187" s="500" t="s">
        <v>622</v>
      </c>
    </row>
    <row r="188" spans="1:7">
      <c r="A188" s="503">
        <v>0</v>
      </c>
      <c r="B188" s="503">
        <v>2555</v>
      </c>
      <c r="C188" s="504" t="s">
        <v>618</v>
      </c>
      <c r="D188" s="504" t="s">
        <v>619</v>
      </c>
      <c r="E188" s="503">
        <v>592</v>
      </c>
      <c r="F188" s="503" t="s">
        <v>722</v>
      </c>
      <c r="G188" s="504" t="s">
        <v>622</v>
      </c>
    </row>
    <row r="189" spans="1:7">
      <c r="A189" s="499">
        <v>0</v>
      </c>
      <c r="B189" s="499">
        <v>2555</v>
      </c>
      <c r="C189" s="500" t="s">
        <v>618</v>
      </c>
      <c r="D189" s="500" t="s">
        <v>619</v>
      </c>
      <c r="E189" s="499">
        <v>593</v>
      </c>
      <c r="F189" s="499" t="s">
        <v>731</v>
      </c>
      <c r="G189" s="500" t="s">
        <v>622</v>
      </c>
    </row>
    <row r="190" spans="1:7">
      <c r="A190" s="503">
        <v>0</v>
      </c>
      <c r="B190" s="503">
        <v>2555</v>
      </c>
      <c r="C190" s="504" t="s">
        <v>618</v>
      </c>
      <c r="D190" s="504" t="s">
        <v>619</v>
      </c>
      <c r="E190" s="503">
        <v>92</v>
      </c>
      <c r="F190" s="501" t="s">
        <v>732</v>
      </c>
      <c r="G190" s="502" t="s">
        <v>622</v>
      </c>
    </row>
    <row r="191" spans="1:7">
      <c r="A191" s="499">
        <v>0</v>
      </c>
      <c r="B191" s="499">
        <v>2555</v>
      </c>
      <c r="C191" s="500" t="s">
        <v>618</v>
      </c>
      <c r="D191" s="500" t="s">
        <v>619</v>
      </c>
      <c r="E191" s="499">
        <v>684</v>
      </c>
      <c r="F191" s="501" t="s">
        <v>733</v>
      </c>
      <c r="G191" s="502"/>
    </row>
    <row r="192" spans="1:7">
      <c r="A192" s="503">
        <v>0</v>
      </c>
      <c r="B192" s="503">
        <v>2555</v>
      </c>
      <c r="C192" s="504" t="s">
        <v>618</v>
      </c>
      <c r="D192" s="504" t="s">
        <v>619</v>
      </c>
      <c r="E192" s="503">
        <v>685</v>
      </c>
      <c r="F192" s="501" t="s">
        <v>734</v>
      </c>
      <c r="G192" s="502"/>
    </row>
    <row r="193" spans="1:7" ht="25.5">
      <c r="A193" s="499">
        <v>0</v>
      </c>
      <c r="B193" s="499">
        <v>2555</v>
      </c>
      <c r="C193" s="500" t="s">
        <v>618</v>
      </c>
      <c r="D193" s="500" t="s">
        <v>619</v>
      </c>
      <c r="E193" s="499">
        <v>686</v>
      </c>
      <c r="F193" s="501" t="s">
        <v>735</v>
      </c>
      <c r="G193" s="502"/>
    </row>
    <row r="194" spans="1:7">
      <c r="A194" s="503">
        <v>0</v>
      </c>
      <c r="B194" s="503">
        <v>2555</v>
      </c>
      <c r="C194" s="504" t="s">
        <v>618</v>
      </c>
      <c r="D194" s="504" t="s">
        <v>619</v>
      </c>
      <c r="E194" s="503">
        <v>146</v>
      </c>
      <c r="F194" s="501" t="s">
        <v>736</v>
      </c>
      <c r="G194" s="502"/>
    </row>
    <row r="195" spans="1:7">
      <c r="A195" s="499">
        <v>0</v>
      </c>
      <c r="B195" s="499">
        <v>2555</v>
      </c>
      <c r="C195" s="500" t="s">
        <v>618</v>
      </c>
      <c r="D195" s="500" t="s">
        <v>619</v>
      </c>
      <c r="E195" s="499">
        <v>147</v>
      </c>
      <c r="F195" s="501" t="s">
        <v>737</v>
      </c>
      <c r="G195" s="502"/>
    </row>
    <row r="196" spans="1:7">
      <c r="A196" s="503">
        <v>0</v>
      </c>
      <c r="B196" s="503">
        <v>2555</v>
      </c>
      <c r="C196" s="504" t="s">
        <v>618</v>
      </c>
      <c r="D196" s="504" t="s">
        <v>619</v>
      </c>
      <c r="E196" s="503">
        <v>164</v>
      </c>
      <c r="F196" s="501" t="s">
        <v>738</v>
      </c>
      <c r="G196" s="502"/>
    </row>
    <row r="197" spans="1:7">
      <c r="A197" s="499">
        <v>0</v>
      </c>
      <c r="B197" s="499">
        <v>2555</v>
      </c>
      <c r="C197" s="500" t="s">
        <v>618</v>
      </c>
      <c r="D197" s="500" t="s">
        <v>619</v>
      </c>
      <c r="E197" s="499">
        <v>148</v>
      </c>
      <c r="F197" s="501" t="s">
        <v>739</v>
      </c>
      <c r="G197" s="502" t="s">
        <v>622</v>
      </c>
    </row>
    <row r="198" spans="1:7">
      <c r="A198" s="503">
        <v>0</v>
      </c>
      <c r="B198" s="503">
        <v>2555</v>
      </c>
      <c r="C198" s="504" t="s">
        <v>618</v>
      </c>
      <c r="D198" s="504" t="s">
        <v>619</v>
      </c>
      <c r="E198" s="503">
        <v>149</v>
      </c>
      <c r="F198" s="503" t="s">
        <v>740</v>
      </c>
      <c r="G198" s="504" t="s">
        <v>622</v>
      </c>
    </row>
    <row r="199" spans="1:7">
      <c r="A199" s="499">
        <v>0</v>
      </c>
      <c r="B199" s="499">
        <v>2555</v>
      </c>
      <c r="C199" s="500" t="s">
        <v>618</v>
      </c>
      <c r="D199" s="500" t="s">
        <v>619</v>
      </c>
      <c r="E199" s="499">
        <v>150</v>
      </c>
      <c r="F199" s="499" t="s">
        <v>741</v>
      </c>
      <c r="G199" s="500" t="s">
        <v>622</v>
      </c>
    </row>
    <row r="200" spans="1:7">
      <c r="A200" s="503">
        <v>0</v>
      </c>
      <c r="B200" s="503">
        <v>2555</v>
      </c>
      <c r="C200" s="504" t="s">
        <v>618</v>
      </c>
      <c r="D200" s="504" t="s">
        <v>619</v>
      </c>
      <c r="E200" s="503">
        <v>151</v>
      </c>
      <c r="F200" s="503" t="s">
        <v>742</v>
      </c>
      <c r="G200" s="504" t="s">
        <v>622</v>
      </c>
    </row>
    <row r="201" spans="1:7">
      <c r="A201" s="499">
        <v>0</v>
      </c>
      <c r="B201" s="499">
        <v>2555</v>
      </c>
      <c r="C201" s="500" t="s">
        <v>618</v>
      </c>
      <c r="D201" s="500" t="s">
        <v>619</v>
      </c>
      <c r="E201" s="499">
        <v>152</v>
      </c>
      <c r="F201" s="501" t="s">
        <v>743</v>
      </c>
      <c r="G201" s="502" t="s">
        <v>622</v>
      </c>
    </row>
    <row r="202" spans="1:7">
      <c r="A202" s="503">
        <v>0</v>
      </c>
      <c r="B202" s="503">
        <v>2555</v>
      </c>
      <c r="C202" s="504" t="s">
        <v>618</v>
      </c>
      <c r="D202" s="504" t="s">
        <v>619</v>
      </c>
      <c r="E202" s="503">
        <v>153</v>
      </c>
      <c r="F202" s="503" t="s">
        <v>740</v>
      </c>
      <c r="G202" s="504" t="s">
        <v>622</v>
      </c>
    </row>
    <row r="203" spans="1:7">
      <c r="A203" s="499">
        <v>0</v>
      </c>
      <c r="B203" s="499">
        <v>2555</v>
      </c>
      <c r="C203" s="500" t="s">
        <v>618</v>
      </c>
      <c r="D203" s="500" t="s">
        <v>619</v>
      </c>
      <c r="E203" s="499">
        <v>154</v>
      </c>
      <c r="F203" s="499" t="s">
        <v>741</v>
      </c>
      <c r="G203" s="500" t="s">
        <v>622</v>
      </c>
    </row>
    <row r="204" spans="1:7">
      <c r="A204" s="503">
        <v>0</v>
      </c>
      <c r="B204" s="503">
        <v>2555</v>
      </c>
      <c r="C204" s="504" t="s">
        <v>618</v>
      </c>
      <c r="D204" s="504" t="s">
        <v>619</v>
      </c>
      <c r="E204" s="503">
        <v>155</v>
      </c>
      <c r="F204" s="503" t="s">
        <v>742</v>
      </c>
      <c r="G204" s="504" t="s">
        <v>622</v>
      </c>
    </row>
    <row r="205" spans="1:7">
      <c r="A205" s="499">
        <v>0</v>
      </c>
      <c r="B205" s="499">
        <v>2555</v>
      </c>
      <c r="C205" s="500" t="s">
        <v>618</v>
      </c>
      <c r="D205" s="500" t="s">
        <v>619</v>
      </c>
      <c r="E205" s="499">
        <v>156</v>
      </c>
      <c r="F205" s="501" t="s">
        <v>744</v>
      </c>
      <c r="G205" s="502" t="s">
        <v>622</v>
      </c>
    </row>
    <row r="206" spans="1:7">
      <c r="A206" s="503">
        <v>0</v>
      </c>
      <c r="B206" s="503">
        <v>2555</v>
      </c>
      <c r="C206" s="504" t="s">
        <v>618</v>
      </c>
      <c r="D206" s="504" t="s">
        <v>619</v>
      </c>
      <c r="E206" s="503">
        <v>157</v>
      </c>
      <c r="F206" s="503" t="s">
        <v>740</v>
      </c>
      <c r="G206" s="504" t="s">
        <v>622</v>
      </c>
    </row>
    <row r="207" spans="1:7">
      <c r="A207" s="499">
        <v>0</v>
      </c>
      <c r="B207" s="499">
        <v>2555</v>
      </c>
      <c r="C207" s="500" t="s">
        <v>618</v>
      </c>
      <c r="D207" s="500" t="s">
        <v>619</v>
      </c>
      <c r="E207" s="499">
        <v>158</v>
      </c>
      <c r="F207" s="499" t="s">
        <v>741</v>
      </c>
      <c r="G207" s="500" t="s">
        <v>622</v>
      </c>
    </row>
    <row r="208" spans="1:7">
      <c r="A208" s="503">
        <v>0</v>
      </c>
      <c r="B208" s="503">
        <v>2555</v>
      </c>
      <c r="C208" s="504" t="s">
        <v>618</v>
      </c>
      <c r="D208" s="504" t="s">
        <v>619</v>
      </c>
      <c r="E208" s="503">
        <v>159</v>
      </c>
      <c r="F208" s="503" t="s">
        <v>742</v>
      </c>
      <c r="G208" s="504" t="s">
        <v>622</v>
      </c>
    </row>
    <row r="209" spans="1:7">
      <c r="A209" s="499">
        <v>0</v>
      </c>
      <c r="B209" s="499">
        <v>2555</v>
      </c>
      <c r="C209" s="500" t="s">
        <v>618</v>
      </c>
      <c r="D209" s="500" t="s">
        <v>619</v>
      </c>
      <c r="E209" s="499">
        <v>160</v>
      </c>
      <c r="F209" s="501" t="s">
        <v>745</v>
      </c>
      <c r="G209" s="502" t="s">
        <v>622</v>
      </c>
    </row>
    <row r="210" spans="1:7">
      <c r="A210" s="503">
        <v>0</v>
      </c>
      <c r="B210" s="503">
        <v>2555</v>
      </c>
      <c r="C210" s="504" t="s">
        <v>618</v>
      </c>
      <c r="D210" s="504" t="s">
        <v>619</v>
      </c>
      <c r="E210" s="503">
        <v>161</v>
      </c>
      <c r="F210" s="503" t="s">
        <v>740</v>
      </c>
      <c r="G210" s="504" t="s">
        <v>622</v>
      </c>
    </row>
    <row r="211" spans="1:7">
      <c r="A211" s="499">
        <v>0</v>
      </c>
      <c r="B211" s="499">
        <v>2555</v>
      </c>
      <c r="C211" s="500" t="s">
        <v>618</v>
      </c>
      <c r="D211" s="500" t="s">
        <v>619</v>
      </c>
      <c r="E211" s="499">
        <v>162</v>
      </c>
      <c r="F211" s="499" t="s">
        <v>741</v>
      </c>
      <c r="G211" s="500" t="s">
        <v>622</v>
      </c>
    </row>
    <row r="212" spans="1:7">
      <c r="A212" s="503">
        <v>0</v>
      </c>
      <c r="B212" s="503">
        <v>2555</v>
      </c>
      <c r="C212" s="504" t="s">
        <v>618</v>
      </c>
      <c r="D212" s="504" t="s">
        <v>619</v>
      </c>
      <c r="E212" s="503">
        <v>163</v>
      </c>
      <c r="F212" s="503" t="s">
        <v>742</v>
      </c>
      <c r="G212" s="504" t="s">
        <v>622</v>
      </c>
    </row>
    <row r="213" spans="1:7">
      <c r="A213" s="499">
        <v>0</v>
      </c>
      <c r="B213" s="499">
        <v>2555</v>
      </c>
      <c r="C213" s="500" t="s">
        <v>618</v>
      </c>
      <c r="D213" s="500" t="s">
        <v>619</v>
      </c>
      <c r="E213" s="499">
        <v>612</v>
      </c>
      <c r="F213" s="501" t="s">
        <v>746</v>
      </c>
      <c r="G213" s="502" t="s">
        <v>622</v>
      </c>
    </row>
    <row r="214" spans="1:7">
      <c r="A214" s="503">
        <v>0</v>
      </c>
      <c r="B214" s="503">
        <v>2555</v>
      </c>
      <c r="C214" s="504" t="s">
        <v>618</v>
      </c>
      <c r="D214" s="504" t="s">
        <v>619</v>
      </c>
      <c r="E214" s="503">
        <v>613</v>
      </c>
      <c r="F214" s="503" t="s">
        <v>747</v>
      </c>
      <c r="G214" s="504" t="s">
        <v>622</v>
      </c>
    </row>
    <row r="215" spans="1:7">
      <c r="A215" s="499">
        <v>0</v>
      </c>
      <c r="B215" s="499">
        <v>2555</v>
      </c>
      <c r="C215" s="500" t="s">
        <v>618</v>
      </c>
      <c r="D215" s="500" t="s">
        <v>619</v>
      </c>
      <c r="E215" s="499">
        <v>614</v>
      </c>
      <c r="F215" s="499" t="s">
        <v>748</v>
      </c>
      <c r="G215" s="500" t="s">
        <v>622</v>
      </c>
    </row>
    <row r="216" spans="1:7">
      <c r="A216" s="503">
        <v>0</v>
      </c>
      <c r="B216" s="503">
        <v>2555</v>
      </c>
      <c r="C216" s="504" t="s">
        <v>618</v>
      </c>
      <c r="D216" s="504" t="s">
        <v>619</v>
      </c>
      <c r="E216" s="503">
        <v>615</v>
      </c>
      <c r="F216" s="503" t="s">
        <v>749</v>
      </c>
      <c r="G216" s="504" t="s">
        <v>622</v>
      </c>
    </row>
    <row r="217" spans="1:7">
      <c r="A217" s="499">
        <v>0</v>
      </c>
      <c r="B217" s="499">
        <v>2555</v>
      </c>
      <c r="C217" s="500" t="s">
        <v>618</v>
      </c>
      <c r="D217" s="500" t="s">
        <v>619</v>
      </c>
      <c r="E217" s="499">
        <v>616</v>
      </c>
      <c r="F217" s="501" t="s">
        <v>750</v>
      </c>
      <c r="G217" s="502" t="s">
        <v>622</v>
      </c>
    </row>
    <row r="218" spans="1:7">
      <c r="A218" s="503">
        <v>0</v>
      </c>
      <c r="B218" s="503">
        <v>2555</v>
      </c>
      <c r="C218" s="504" t="s">
        <v>618</v>
      </c>
      <c r="D218" s="504" t="s">
        <v>619</v>
      </c>
      <c r="E218" s="503">
        <v>617</v>
      </c>
      <c r="F218" s="503" t="s">
        <v>751</v>
      </c>
      <c r="G218" s="504" t="s">
        <v>622</v>
      </c>
    </row>
    <row r="219" spans="1:7">
      <c r="A219" s="499">
        <v>0</v>
      </c>
      <c r="B219" s="499">
        <v>2555</v>
      </c>
      <c r="C219" s="500" t="s">
        <v>618</v>
      </c>
      <c r="D219" s="500" t="s">
        <v>619</v>
      </c>
      <c r="E219" s="499">
        <v>618</v>
      </c>
      <c r="F219" s="499" t="s">
        <v>752</v>
      </c>
      <c r="G219" s="500" t="s">
        <v>622</v>
      </c>
    </row>
    <row r="220" spans="1:7">
      <c r="A220" s="503">
        <v>0</v>
      </c>
      <c r="B220" s="503">
        <v>2555</v>
      </c>
      <c r="C220" s="504" t="s">
        <v>618</v>
      </c>
      <c r="D220" s="504" t="s">
        <v>619</v>
      </c>
      <c r="E220" s="503">
        <v>619</v>
      </c>
      <c r="F220" s="503" t="s">
        <v>742</v>
      </c>
      <c r="G220" s="504" t="s">
        <v>622</v>
      </c>
    </row>
    <row r="221" spans="1:7" ht="25.5">
      <c r="A221" s="499">
        <v>0</v>
      </c>
      <c r="B221" s="499">
        <v>2555</v>
      </c>
      <c r="C221" s="500" t="s">
        <v>618</v>
      </c>
      <c r="D221" s="500" t="s">
        <v>619</v>
      </c>
      <c r="E221" s="499">
        <v>193</v>
      </c>
      <c r="F221" s="501" t="s">
        <v>753</v>
      </c>
      <c r="G221" s="502" t="s">
        <v>622</v>
      </c>
    </row>
    <row r="222" spans="1:7">
      <c r="A222" s="503">
        <v>0</v>
      </c>
      <c r="B222" s="503">
        <v>2555</v>
      </c>
      <c r="C222" s="504" t="s">
        <v>618</v>
      </c>
      <c r="D222" s="504" t="s">
        <v>619</v>
      </c>
      <c r="E222" s="503">
        <v>626</v>
      </c>
      <c r="F222" s="503" t="s">
        <v>754</v>
      </c>
      <c r="G222" s="504" t="s">
        <v>622</v>
      </c>
    </row>
    <row r="223" spans="1:7">
      <c r="A223" s="499">
        <v>0</v>
      </c>
      <c r="B223" s="499">
        <v>2555</v>
      </c>
      <c r="C223" s="500" t="s">
        <v>618</v>
      </c>
      <c r="D223" s="500" t="s">
        <v>619</v>
      </c>
      <c r="E223" s="499">
        <v>627</v>
      </c>
      <c r="F223" s="499" t="s">
        <v>755</v>
      </c>
      <c r="G223" s="500" t="s">
        <v>622</v>
      </c>
    </row>
    <row r="224" spans="1:7">
      <c r="A224" s="503">
        <v>0</v>
      </c>
      <c r="B224" s="503">
        <v>2555</v>
      </c>
      <c r="C224" s="504" t="s">
        <v>618</v>
      </c>
      <c r="D224" s="504" t="s">
        <v>619</v>
      </c>
      <c r="E224" s="503">
        <v>628</v>
      </c>
      <c r="F224" s="503" t="s">
        <v>756</v>
      </c>
      <c r="G224" s="504" t="s">
        <v>622</v>
      </c>
    </row>
    <row r="225" spans="1:7" ht="25.5">
      <c r="A225" s="499">
        <v>0</v>
      </c>
      <c r="B225" s="499">
        <v>2555</v>
      </c>
      <c r="C225" s="500" t="s">
        <v>618</v>
      </c>
      <c r="D225" s="500" t="s">
        <v>619</v>
      </c>
      <c r="E225" s="499">
        <v>194</v>
      </c>
      <c r="F225" s="501" t="s">
        <v>757</v>
      </c>
      <c r="G225" s="502" t="s">
        <v>622</v>
      </c>
    </row>
    <row r="226" spans="1:7">
      <c r="A226" s="503">
        <v>0</v>
      </c>
      <c r="B226" s="503">
        <v>2555</v>
      </c>
      <c r="C226" s="504" t="s">
        <v>618</v>
      </c>
      <c r="D226" s="504" t="s">
        <v>619</v>
      </c>
      <c r="E226" s="503">
        <v>629</v>
      </c>
      <c r="F226" s="503" t="s">
        <v>758</v>
      </c>
      <c r="G226" s="504" t="s">
        <v>622</v>
      </c>
    </row>
    <row r="227" spans="1:7">
      <c r="A227" s="499">
        <v>0</v>
      </c>
      <c r="B227" s="499">
        <v>2555</v>
      </c>
      <c r="C227" s="500" t="s">
        <v>618</v>
      </c>
      <c r="D227" s="500" t="s">
        <v>619</v>
      </c>
      <c r="E227" s="499">
        <v>630</v>
      </c>
      <c r="F227" s="499" t="s">
        <v>755</v>
      </c>
      <c r="G227" s="500" t="s">
        <v>622</v>
      </c>
    </row>
    <row r="228" spans="1:7">
      <c r="A228" s="503">
        <v>0</v>
      </c>
      <c r="B228" s="503">
        <v>2555</v>
      </c>
      <c r="C228" s="504" t="s">
        <v>618</v>
      </c>
      <c r="D228" s="504" t="s">
        <v>619</v>
      </c>
      <c r="E228" s="503">
        <v>631</v>
      </c>
      <c r="F228" s="503" t="s">
        <v>756</v>
      </c>
      <c r="G228" s="504" t="s">
        <v>622</v>
      </c>
    </row>
    <row r="229" spans="1:7" ht="25.5">
      <c r="A229" s="499">
        <v>0</v>
      </c>
      <c r="B229" s="499">
        <v>2555</v>
      </c>
      <c r="C229" s="500" t="s">
        <v>618</v>
      </c>
      <c r="D229" s="500" t="s">
        <v>619</v>
      </c>
      <c r="E229" s="499">
        <v>195</v>
      </c>
      <c r="F229" s="501" t="s">
        <v>759</v>
      </c>
      <c r="G229" s="502" t="s">
        <v>622</v>
      </c>
    </row>
    <row r="230" spans="1:7">
      <c r="A230" s="503">
        <v>0</v>
      </c>
      <c r="B230" s="503">
        <v>2555</v>
      </c>
      <c r="C230" s="504" t="s">
        <v>618</v>
      </c>
      <c r="D230" s="504" t="s">
        <v>619</v>
      </c>
      <c r="E230" s="503">
        <v>632</v>
      </c>
      <c r="F230" s="503" t="s">
        <v>758</v>
      </c>
      <c r="G230" s="504" t="s">
        <v>622</v>
      </c>
    </row>
    <row r="231" spans="1:7">
      <c r="A231" s="499">
        <v>0</v>
      </c>
      <c r="B231" s="499">
        <v>2555</v>
      </c>
      <c r="C231" s="500" t="s">
        <v>618</v>
      </c>
      <c r="D231" s="500" t="s">
        <v>619</v>
      </c>
      <c r="E231" s="499">
        <v>633</v>
      </c>
      <c r="F231" s="499" t="s">
        <v>755</v>
      </c>
      <c r="G231" s="500" t="s">
        <v>622</v>
      </c>
    </row>
    <row r="232" spans="1:7">
      <c r="A232" s="503">
        <v>0</v>
      </c>
      <c r="B232" s="503">
        <v>2555</v>
      </c>
      <c r="C232" s="504" t="s">
        <v>618</v>
      </c>
      <c r="D232" s="504" t="s">
        <v>619</v>
      </c>
      <c r="E232" s="503">
        <v>634</v>
      </c>
      <c r="F232" s="503" t="s">
        <v>756</v>
      </c>
      <c r="G232" s="504" t="s">
        <v>622</v>
      </c>
    </row>
    <row r="233" spans="1:7" ht="25.5">
      <c r="A233" s="499">
        <v>0</v>
      </c>
      <c r="B233" s="499">
        <v>2555</v>
      </c>
      <c r="C233" s="500" t="s">
        <v>618</v>
      </c>
      <c r="D233" s="500" t="s">
        <v>619</v>
      </c>
      <c r="E233" s="499">
        <v>200</v>
      </c>
      <c r="F233" s="501" t="s">
        <v>760</v>
      </c>
      <c r="G233" s="502" t="s">
        <v>622</v>
      </c>
    </row>
    <row r="234" spans="1:7">
      <c r="A234" s="503">
        <v>0</v>
      </c>
      <c r="B234" s="503">
        <v>2555</v>
      </c>
      <c r="C234" s="504" t="s">
        <v>618</v>
      </c>
      <c r="D234" s="504" t="s">
        <v>619</v>
      </c>
      <c r="E234" s="503">
        <v>647</v>
      </c>
      <c r="F234" s="503" t="s">
        <v>758</v>
      </c>
      <c r="G234" s="504" t="s">
        <v>622</v>
      </c>
    </row>
    <row r="235" spans="1:7">
      <c r="A235" s="499">
        <v>0</v>
      </c>
      <c r="B235" s="499">
        <v>2555</v>
      </c>
      <c r="C235" s="500" t="s">
        <v>618</v>
      </c>
      <c r="D235" s="500" t="s">
        <v>619</v>
      </c>
      <c r="E235" s="499">
        <v>648</v>
      </c>
      <c r="F235" s="499" t="s">
        <v>755</v>
      </c>
      <c r="G235" s="500" t="s">
        <v>622</v>
      </c>
    </row>
    <row r="236" spans="1:7">
      <c r="A236" s="503">
        <v>0</v>
      </c>
      <c r="B236" s="503">
        <v>2555</v>
      </c>
      <c r="C236" s="504" t="s">
        <v>618</v>
      </c>
      <c r="D236" s="504" t="s">
        <v>619</v>
      </c>
      <c r="E236" s="503">
        <v>649</v>
      </c>
      <c r="F236" s="503" t="s">
        <v>756</v>
      </c>
      <c r="G236" s="504" t="s">
        <v>622</v>
      </c>
    </row>
    <row r="237" spans="1:7">
      <c r="A237" s="499">
        <v>0</v>
      </c>
      <c r="B237" s="499">
        <v>2555</v>
      </c>
      <c r="C237" s="500" t="s">
        <v>618</v>
      </c>
      <c r="D237" s="500" t="s">
        <v>619</v>
      </c>
      <c r="E237" s="499">
        <v>202</v>
      </c>
      <c r="F237" s="501" t="s">
        <v>761</v>
      </c>
      <c r="G237" s="502" t="s">
        <v>622</v>
      </c>
    </row>
    <row r="238" spans="1:7">
      <c r="A238" s="503">
        <v>0</v>
      </c>
      <c r="B238" s="503">
        <v>2555</v>
      </c>
      <c r="C238" s="504" t="s">
        <v>618</v>
      </c>
      <c r="D238" s="504" t="s">
        <v>619</v>
      </c>
      <c r="E238" s="503">
        <v>653</v>
      </c>
      <c r="F238" s="503" t="s">
        <v>758</v>
      </c>
      <c r="G238" s="504" t="s">
        <v>622</v>
      </c>
    </row>
    <row r="239" spans="1:7">
      <c r="A239" s="499">
        <v>0</v>
      </c>
      <c r="B239" s="499">
        <v>2555</v>
      </c>
      <c r="C239" s="500" t="s">
        <v>618</v>
      </c>
      <c r="D239" s="500" t="s">
        <v>619</v>
      </c>
      <c r="E239" s="499">
        <v>654</v>
      </c>
      <c r="F239" s="499" t="s">
        <v>755</v>
      </c>
      <c r="G239" s="500" t="s">
        <v>622</v>
      </c>
    </row>
    <row r="240" spans="1:7">
      <c r="A240" s="503">
        <v>0</v>
      </c>
      <c r="B240" s="503">
        <v>2555</v>
      </c>
      <c r="C240" s="504" t="s">
        <v>618</v>
      </c>
      <c r="D240" s="504" t="s">
        <v>619</v>
      </c>
      <c r="E240" s="503">
        <v>655</v>
      </c>
      <c r="F240" s="503" t="s">
        <v>756</v>
      </c>
      <c r="G240" s="504" t="s">
        <v>622</v>
      </c>
    </row>
    <row r="241" spans="1:7">
      <c r="A241" s="499">
        <v>0</v>
      </c>
      <c r="B241" s="499">
        <v>2555</v>
      </c>
      <c r="C241" s="500" t="s">
        <v>618</v>
      </c>
      <c r="D241" s="500" t="s">
        <v>619</v>
      </c>
      <c r="E241" s="499">
        <v>203</v>
      </c>
      <c r="F241" s="501" t="s">
        <v>762</v>
      </c>
      <c r="G241" s="502" t="s">
        <v>622</v>
      </c>
    </row>
    <row r="242" spans="1:7">
      <c r="A242" s="503">
        <v>0</v>
      </c>
      <c r="B242" s="503">
        <v>2555</v>
      </c>
      <c r="C242" s="504" t="s">
        <v>618</v>
      </c>
      <c r="D242" s="504" t="s">
        <v>619</v>
      </c>
      <c r="E242" s="503">
        <v>656</v>
      </c>
      <c r="F242" s="503" t="s">
        <v>758</v>
      </c>
      <c r="G242" s="504" t="s">
        <v>622</v>
      </c>
    </row>
    <row r="243" spans="1:7">
      <c r="A243" s="499">
        <v>0</v>
      </c>
      <c r="B243" s="499">
        <v>2555</v>
      </c>
      <c r="C243" s="500" t="s">
        <v>618</v>
      </c>
      <c r="D243" s="500" t="s">
        <v>619</v>
      </c>
      <c r="E243" s="499">
        <v>657</v>
      </c>
      <c r="F243" s="499" t="s">
        <v>755</v>
      </c>
      <c r="G243" s="500" t="s">
        <v>622</v>
      </c>
    </row>
    <row r="244" spans="1:7">
      <c r="A244" s="503">
        <v>0</v>
      </c>
      <c r="B244" s="503">
        <v>2555</v>
      </c>
      <c r="C244" s="504" t="s">
        <v>618</v>
      </c>
      <c r="D244" s="504" t="s">
        <v>619</v>
      </c>
      <c r="E244" s="503">
        <v>658</v>
      </c>
      <c r="F244" s="503" t="s">
        <v>756</v>
      </c>
      <c r="G244" s="504" t="s">
        <v>622</v>
      </c>
    </row>
    <row r="245" spans="1:7" ht="25.5">
      <c r="A245" s="499">
        <v>0</v>
      </c>
      <c r="B245" s="499">
        <v>2555</v>
      </c>
      <c r="C245" s="500" t="s">
        <v>618</v>
      </c>
      <c r="D245" s="500" t="s">
        <v>619</v>
      </c>
      <c r="E245" s="499">
        <v>204</v>
      </c>
      <c r="F245" s="501" t="s">
        <v>763</v>
      </c>
      <c r="G245" s="502" t="s">
        <v>622</v>
      </c>
    </row>
    <row r="246" spans="1:7">
      <c r="A246" s="503">
        <v>0</v>
      </c>
      <c r="B246" s="503">
        <v>2555</v>
      </c>
      <c r="C246" s="504" t="s">
        <v>618</v>
      </c>
      <c r="D246" s="504" t="s">
        <v>619</v>
      </c>
      <c r="E246" s="503">
        <v>659</v>
      </c>
      <c r="F246" s="503" t="s">
        <v>758</v>
      </c>
      <c r="G246" s="504" t="s">
        <v>622</v>
      </c>
    </row>
    <row r="247" spans="1:7">
      <c r="A247" s="499">
        <v>0</v>
      </c>
      <c r="B247" s="499">
        <v>2555</v>
      </c>
      <c r="C247" s="500" t="s">
        <v>618</v>
      </c>
      <c r="D247" s="500" t="s">
        <v>619</v>
      </c>
      <c r="E247" s="499">
        <v>660</v>
      </c>
      <c r="F247" s="499" t="s">
        <v>755</v>
      </c>
      <c r="G247" s="500" t="s">
        <v>622</v>
      </c>
    </row>
    <row r="248" spans="1:7">
      <c r="A248" s="503">
        <v>0</v>
      </c>
      <c r="B248" s="503">
        <v>2555</v>
      </c>
      <c r="C248" s="504" t="s">
        <v>618</v>
      </c>
      <c r="D248" s="504" t="s">
        <v>619</v>
      </c>
      <c r="E248" s="503">
        <v>661</v>
      </c>
      <c r="F248" s="503" t="s">
        <v>756</v>
      </c>
      <c r="G248" s="504" t="s">
        <v>622</v>
      </c>
    </row>
    <row r="249" spans="1:7">
      <c r="A249" s="499">
        <v>0</v>
      </c>
      <c r="B249" s="499">
        <v>2555</v>
      </c>
      <c r="C249" s="500" t="s">
        <v>618</v>
      </c>
      <c r="D249" s="500" t="s">
        <v>619</v>
      </c>
      <c r="E249" s="499">
        <v>205</v>
      </c>
      <c r="F249" s="501" t="s">
        <v>764</v>
      </c>
      <c r="G249" s="502" t="s">
        <v>622</v>
      </c>
    </row>
    <row r="250" spans="1:7">
      <c r="A250" s="503">
        <v>0</v>
      </c>
      <c r="B250" s="503">
        <v>2555</v>
      </c>
      <c r="C250" s="504" t="s">
        <v>618</v>
      </c>
      <c r="D250" s="504" t="s">
        <v>619</v>
      </c>
      <c r="E250" s="503">
        <v>662</v>
      </c>
      <c r="F250" s="503" t="s">
        <v>758</v>
      </c>
      <c r="G250" s="504" t="s">
        <v>622</v>
      </c>
    </row>
    <row r="251" spans="1:7">
      <c r="A251" s="499">
        <v>0</v>
      </c>
      <c r="B251" s="499">
        <v>2555</v>
      </c>
      <c r="C251" s="500" t="s">
        <v>618</v>
      </c>
      <c r="D251" s="500" t="s">
        <v>619</v>
      </c>
      <c r="E251" s="499">
        <v>663</v>
      </c>
      <c r="F251" s="499" t="s">
        <v>755</v>
      </c>
      <c r="G251" s="500" t="s">
        <v>622</v>
      </c>
    </row>
    <row r="252" spans="1:7">
      <c r="A252" s="503">
        <v>0</v>
      </c>
      <c r="B252" s="503">
        <v>2555</v>
      </c>
      <c r="C252" s="504" t="s">
        <v>618</v>
      </c>
      <c r="D252" s="504" t="s">
        <v>619</v>
      </c>
      <c r="E252" s="503">
        <v>664</v>
      </c>
      <c r="F252" s="503" t="s">
        <v>756</v>
      </c>
      <c r="G252" s="504" t="s">
        <v>622</v>
      </c>
    </row>
    <row r="253" spans="1:7">
      <c r="A253" s="499">
        <v>0</v>
      </c>
      <c r="B253" s="499">
        <v>2555</v>
      </c>
      <c r="C253" s="500" t="s">
        <v>618</v>
      </c>
      <c r="D253" s="500" t="s">
        <v>619</v>
      </c>
      <c r="E253" s="499">
        <v>206</v>
      </c>
      <c r="F253" s="501" t="s">
        <v>765</v>
      </c>
      <c r="G253" s="502" t="s">
        <v>622</v>
      </c>
    </row>
    <row r="254" spans="1:7">
      <c r="A254" s="503">
        <v>0</v>
      </c>
      <c r="B254" s="503">
        <v>2555</v>
      </c>
      <c r="C254" s="504" t="s">
        <v>618</v>
      </c>
      <c r="D254" s="504" t="s">
        <v>619</v>
      </c>
      <c r="E254" s="503">
        <v>665</v>
      </c>
      <c r="F254" s="503" t="s">
        <v>758</v>
      </c>
      <c r="G254" s="504" t="s">
        <v>622</v>
      </c>
    </row>
    <row r="255" spans="1:7">
      <c r="A255" s="499">
        <v>0</v>
      </c>
      <c r="B255" s="499">
        <v>2555</v>
      </c>
      <c r="C255" s="500" t="s">
        <v>618</v>
      </c>
      <c r="D255" s="500" t="s">
        <v>619</v>
      </c>
      <c r="E255" s="499">
        <v>666</v>
      </c>
      <c r="F255" s="499" t="s">
        <v>755</v>
      </c>
      <c r="G255" s="500" t="s">
        <v>622</v>
      </c>
    </row>
    <row r="256" spans="1:7">
      <c r="A256" s="503">
        <v>0</v>
      </c>
      <c r="B256" s="503">
        <v>2555</v>
      </c>
      <c r="C256" s="504" t="s">
        <v>618</v>
      </c>
      <c r="D256" s="504" t="s">
        <v>619</v>
      </c>
      <c r="E256" s="503">
        <v>667</v>
      </c>
      <c r="F256" s="503" t="s">
        <v>756</v>
      </c>
      <c r="G256" s="504" t="s">
        <v>622</v>
      </c>
    </row>
    <row r="257" spans="1:7">
      <c r="A257" s="499">
        <v>0</v>
      </c>
      <c r="B257" s="499">
        <v>2555</v>
      </c>
      <c r="C257" s="500" t="s">
        <v>618</v>
      </c>
      <c r="D257" s="500" t="s">
        <v>619</v>
      </c>
      <c r="E257" s="499">
        <v>207</v>
      </c>
      <c r="F257" s="501" t="s">
        <v>766</v>
      </c>
      <c r="G257" s="502"/>
    </row>
    <row r="258" spans="1:7">
      <c r="A258" s="503">
        <v>0</v>
      </c>
      <c r="B258" s="503">
        <v>2555</v>
      </c>
      <c r="C258" s="504" t="s">
        <v>618</v>
      </c>
      <c r="D258" s="504" t="s">
        <v>619</v>
      </c>
      <c r="E258" s="503">
        <v>208</v>
      </c>
      <c r="F258" s="501" t="s">
        <v>767</v>
      </c>
      <c r="G258" s="502"/>
    </row>
    <row r="259" spans="1:7">
      <c r="A259" s="499">
        <v>0</v>
      </c>
      <c r="B259" s="499">
        <v>2555</v>
      </c>
      <c r="C259" s="500" t="s">
        <v>618</v>
      </c>
      <c r="D259" s="500" t="s">
        <v>619</v>
      </c>
      <c r="E259" s="499">
        <v>209</v>
      </c>
      <c r="F259" s="501" t="s">
        <v>768</v>
      </c>
      <c r="G259" s="502"/>
    </row>
    <row r="260" spans="1:7">
      <c r="A260" s="503">
        <v>0</v>
      </c>
      <c r="B260" s="503">
        <v>2555</v>
      </c>
      <c r="C260" s="504" t="s">
        <v>618</v>
      </c>
      <c r="D260" s="504" t="s">
        <v>619</v>
      </c>
      <c r="E260" s="503">
        <v>210</v>
      </c>
      <c r="F260" s="503" t="s">
        <v>769</v>
      </c>
      <c r="G260" s="504"/>
    </row>
    <row r="261" spans="1:7">
      <c r="A261" s="499" t="s">
        <v>619</v>
      </c>
      <c r="B261" s="499">
        <v>2555</v>
      </c>
      <c r="C261" s="500" t="s">
        <v>618</v>
      </c>
      <c r="D261" s="500" t="s">
        <v>619</v>
      </c>
      <c r="E261" s="499">
        <v>211</v>
      </c>
      <c r="F261" s="499" t="s">
        <v>770</v>
      </c>
      <c r="G261" s="500"/>
    </row>
    <row r="262" spans="1:7" ht="25.5">
      <c r="A262" s="503" t="s">
        <v>619</v>
      </c>
      <c r="B262" s="503">
        <v>2555</v>
      </c>
      <c r="C262" s="504" t="s">
        <v>618</v>
      </c>
      <c r="D262" s="504" t="s">
        <v>619</v>
      </c>
      <c r="E262" s="503">
        <v>212</v>
      </c>
      <c r="F262" s="503" t="s">
        <v>771</v>
      </c>
      <c r="G262" s="504"/>
    </row>
    <row r="263" spans="1:7" ht="38.25">
      <c r="A263" s="499" t="s">
        <v>619</v>
      </c>
      <c r="B263" s="499">
        <v>2555</v>
      </c>
      <c r="C263" s="500" t="s">
        <v>618</v>
      </c>
      <c r="D263" s="500" t="s">
        <v>619</v>
      </c>
      <c r="E263" s="499">
        <v>213</v>
      </c>
      <c r="F263" s="499" t="s">
        <v>772</v>
      </c>
      <c r="G263" s="500"/>
    </row>
    <row r="264" spans="1:7">
      <c r="A264" s="503" t="s">
        <v>619</v>
      </c>
      <c r="B264" s="503">
        <v>2555</v>
      </c>
      <c r="C264" s="504" t="s">
        <v>618</v>
      </c>
      <c r="D264" s="504" t="s">
        <v>619</v>
      </c>
      <c r="E264" s="503">
        <v>214</v>
      </c>
      <c r="F264" s="501" t="s">
        <v>773</v>
      </c>
      <c r="G264" s="502"/>
    </row>
    <row r="265" spans="1:7">
      <c r="A265" s="499">
        <v>0</v>
      </c>
      <c r="B265" s="499">
        <v>2555</v>
      </c>
      <c r="C265" s="500" t="s">
        <v>618</v>
      </c>
      <c r="D265" s="500" t="s">
        <v>619</v>
      </c>
      <c r="E265" s="499">
        <v>215</v>
      </c>
      <c r="F265" s="501" t="s">
        <v>774</v>
      </c>
      <c r="G265" s="502"/>
    </row>
    <row r="266" spans="1:7">
      <c r="A266" s="503">
        <v>0</v>
      </c>
      <c r="B266" s="503">
        <v>2555</v>
      </c>
      <c r="C266" s="504" t="s">
        <v>618</v>
      </c>
      <c r="D266" s="504" t="s">
        <v>619</v>
      </c>
      <c r="E266" s="503">
        <v>216</v>
      </c>
      <c r="F266" s="501" t="s">
        <v>775</v>
      </c>
      <c r="G266" s="502"/>
    </row>
    <row r="267" spans="1:7">
      <c r="A267" s="499">
        <v>0</v>
      </c>
      <c r="B267" s="499">
        <v>2555</v>
      </c>
      <c r="C267" s="500" t="s">
        <v>618</v>
      </c>
      <c r="D267" s="500" t="s">
        <v>619</v>
      </c>
      <c r="E267" s="499">
        <v>594</v>
      </c>
      <c r="F267" s="501" t="s">
        <v>776</v>
      </c>
      <c r="G267" s="502"/>
    </row>
    <row r="268" spans="1:7">
      <c r="A268" s="503">
        <v>0</v>
      </c>
      <c r="B268" s="503">
        <v>2555</v>
      </c>
      <c r="C268" s="504" t="s">
        <v>618</v>
      </c>
      <c r="D268" s="504" t="s">
        <v>619</v>
      </c>
      <c r="E268" s="503">
        <v>693</v>
      </c>
      <c r="F268" s="501" t="s">
        <v>777</v>
      </c>
      <c r="G268" s="502"/>
    </row>
    <row r="269" spans="1:7">
      <c r="A269" s="499">
        <v>0</v>
      </c>
      <c r="B269" s="499">
        <v>2555</v>
      </c>
      <c r="C269" s="500" t="s">
        <v>618</v>
      </c>
      <c r="D269" s="500" t="s">
        <v>619</v>
      </c>
      <c r="E269" s="499">
        <v>585</v>
      </c>
      <c r="F269" s="501" t="s">
        <v>778</v>
      </c>
      <c r="G269" s="502"/>
    </row>
    <row r="270" spans="1:7">
      <c r="A270" s="503">
        <v>0</v>
      </c>
      <c r="B270" s="503">
        <v>2555</v>
      </c>
      <c r="C270" s="504" t="s">
        <v>618</v>
      </c>
      <c r="D270" s="504" t="s">
        <v>619</v>
      </c>
      <c r="E270" s="503">
        <v>586</v>
      </c>
      <c r="F270" s="501" t="s">
        <v>779</v>
      </c>
      <c r="G270" s="502"/>
    </row>
    <row r="271" spans="1:7">
      <c r="A271" s="499">
        <v>0</v>
      </c>
      <c r="B271" s="499">
        <v>2555</v>
      </c>
      <c r="C271" s="500" t="s">
        <v>618</v>
      </c>
      <c r="D271" s="500" t="s">
        <v>619</v>
      </c>
      <c r="E271" s="499">
        <v>694</v>
      </c>
      <c r="F271" s="501" t="s">
        <v>780</v>
      </c>
      <c r="G271" s="502"/>
    </row>
    <row r="272" spans="1:7">
      <c r="A272" s="503">
        <v>0</v>
      </c>
      <c r="B272" s="503">
        <v>2555</v>
      </c>
      <c r="C272" s="504" t="s">
        <v>618</v>
      </c>
      <c r="D272" s="504" t="s">
        <v>619</v>
      </c>
      <c r="E272" s="503">
        <v>579</v>
      </c>
      <c r="F272" s="501" t="s">
        <v>781</v>
      </c>
      <c r="G272" s="502" t="s">
        <v>622</v>
      </c>
    </row>
    <row r="273" spans="1:7">
      <c r="A273" s="499">
        <v>0</v>
      </c>
      <c r="B273" s="499">
        <v>2555</v>
      </c>
      <c r="C273" s="500" t="s">
        <v>618</v>
      </c>
      <c r="D273" s="500" t="s">
        <v>619</v>
      </c>
      <c r="E273" s="499">
        <v>580</v>
      </c>
      <c r="F273" s="501" t="s">
        <v>782</v>
      </c>
      <c r="G273" s="502" t="s">
        <v>622</v>
      </c>
    </row>
    <row r="274" spans="1:7">
      <c r="A274" s="503">
        <v>0</v>
      </c>
      <c r="B274" s="503">
        <v>2555</v>
      </c>
      <c r="C274" s="504" t="s">
        <v>618</v>
      </c>
      <c r="D274" s="504" t="s">
        <v>619</v>
      </c>
      <c r="E274" s="503">
        <v>581</v>
      </c>
      <c r="F274" s="501" t="s">
        <v>783</v>
      </c>
      <c r="G274" s="502" t="s">
        <v>622</v>
      </c>
    </row>
    <row r="275" spans="1:7">
      <c r="A275" s="499">
        <v>0</v>
      </c>
      <c r="B275" s="499">
        <v>2555</v>
      </c>
      <c r="C275" s="500" t="s">
        <v>618</v>
      </c>
      <c r="D275" s="500" t="s">
        <v>619</v>
      </c>
      <c r="E275" s="499">
        <v>582</v>
      </c>
      <c r="F275" s="501" t="s">
        <v>784</v>
      </c>
      <c r="G275" s="502" t="s">
        <v>622</v>
      </c>
    </row>
    <row r="276" spans="1:7">
      <c r="A276" s="503">
        <v>0</v>
      </c>
      <c r="B276" s="503">
        <v>2555</v>
      </c>
      <c r="C276" s="504" t="s">
        <v>618</v>
      </c>
      <c r="D276" s="504" t="s">
        <v>619</v>
      </c>
      <c r="E276" s="503">
        <v>583</v>
      </c>
      <c r="F276" s="501" t="s">
        <v>785</v>
      </c>
      <c r="G276" s="502" t="s">
        <v>622</v>
      </c>
    </row>
    <row r="277" spans="1:7">
      <c r="A277" s="499">
        <v>0</v>
      </c>
      <c r="B277" s="499">
        <v>2555</v>
      </c>
      <c r="C277" s="500" t="s">
        <v>618</v>
      </c>
      <c r="D277" s="500" t="s">
        <v>619</v>
      </c>
      <c r="E277" s="499">
        <v>584</v>
      </c>
      <c r="F277" s="501" t="s">
        <v>786</v>
      </c>
      <c r="G277" s="502" t="s">
        <v>622</v>
      </c>
    </row>
    <row r="278" spans="1:7">
      <c r="A278" s="503">
        <v>0</v>
      </c>
      <c r="B278" s="503">
        <v>2555</v>
      </c>
      <c r="C278" s="504" t="s">
        <v>618</v>
      </c>
      <c r="D278" s="504" t="s">
        <v>619</v>
      </c>
      <c r="E278" s="503">
        <v>688</v>
      </c>
      <c r="F278" s="501" t="s">
        <v>787</v>
      </c>
      <c r="G278" s="502"/>
    </row>
    <row r="279" spans="1:7">
      <c r="A279" s="499">
        <v>0</v>
      </c>
      <c r="B279" s="499">
        <v>2555</v>
      </c>
      <c r="C279" s="500" t="s">
        <v>618</v>
      </c>
      <c r="D279" s="500" t="s">
        <v>619</v>
      </c>
      <c r="E279" s="499">
        <v>689</v>
      </c>
      <c r="F279" s="501" t="s">
        <v>788</v>
      </c>
      <c r="G279" s="502"/>
    </row>
    <row r="280" spans="1:7">
      <c r="A280" s="503">
        <v>0</v>
      </c>
      <c r="B280" s="503">
        <v>2555</v>
      </c>
      <c r="C280" s="504" t="s">
        <v>618</v>
      </c>
      <c r="D280" s="504" t="s">
        <v>619</v>
      </c>
      <c r="E280" s="503">
        <v>668</v>
      </c>
      <c r="F280" s="501" t="s">
        <v>789</v>
      </c>
      <c r="G280" s="502" t="s">
        <v>622</v>
      </c>
    </row>
    <row r="281" spans="1:7" ht="25.5">
      <c r="A281" s="499">
        <v>0</v>
      </c>
      <c r="B281" s="499">
        <v>2555</v>
      </c>
      <c r="C281" s="500" t="s">
        <v>618</v>
      </c>
      <c r="D281" s="500" t="s">
        <v>619</v>
      </c>
      <c r="E281" s="499">
        <v>690</v>
      </c>
      <c r="F281" s="501" t="s">
        <v>790</v>
      </c>
      <c r="G281" s="502" t="s">
        <v>622</v>
      </c>
    </row>
    <row r="282" spans="1:7">
      <c r="A282" s="503">
        <v>0</v>
      </c>
      <c r="B282" s="503">
        <v>2555</v>
      </c>
      <c r="C282" s="504" t="s">
        <v>618</v>
      </c>
      <c r="D282" s="504" t="s">
        <v>619</v>
      </c>
      <c r="E282" s="503">
        <v>222</v>
      </c>
      <c r="F282" s="501" t="s">
        <v>791</v>
      </c>
      <c r="G282" s="502" t="s">
        <v>622</v>
      </c>
    </row>
    <row r="283" spans="1:7">
      <c r="A283" s="499">
        <v>0</v>
      </c>
      <c r="B283" s="499">
        <v>2555</v>
      </c>
      <c r="C283" s="500" t="s">
        <v>618</v>
      </c>
      <c r="D283" s="500" t="s">
        <v>619</v>
      </c>
      <c r="E283" s="499">
        <v>223</v>
      </c>
      <c r="F283" s="499" t="s">
        <v>792</v>
      </c>
      <c r="G283" s="500" t="s">
        <v>622</v>
      </c>
    </row>
    <row r="284" spans="1:7">
      <c r="A284" s="503">
        <v>0</v>
      </c>
      <c r="B284" s="503">
        <v>2555</v>
      </c>
      <c r="C284" s="504" t="s">
        <v>618</v>
      </c>
      <c r="D284" s="504" t="s">
        <v>619</v>
      </c>
      <c r="E284" s="503">
        <v>224</v>
      </c>
      <c r="F284" s="503" t="s">
        <v>793</v>
      </c>
      <c r="G284" s="504" t="s">
        <v>622</v>
      </c>
    </row>
    <row r="285" spans="1:7">
      <c r="A285" s="499">
        <v>0</v>
      </c>
      <c r="B285" s="499">
        <v>2555</v>
      </c>
      <c r="C285" s="500" t="s">
        <v>618</v>
      </c>
      <c r="D285" s="500" t="s">
        <v>619</v>
      </c>
      <c r="E285" s="499">
        <v>225</v>
      </c>
      <c r="F285" s="499" t="s">
        <v>794</v>
      </c>
      <c r="G285" s="500" t="s">
        <v>622</v>
      </c>
    </row>
    <row r="286" spans="1:7">
      <c r="A286" s="503">
        <v>0</v>
      </c>
      <c r="B286" s="503">
        <v>2555</v>
      </c>
      <c r="C286" s="504" t="s">
        <v>618</v>
      </c>
      <c r="D286" s="504" t="s">
        <v>619</v>
      </c>
      <c r="E286" s="503">
        <v>226</v>
      </c>
      <c r="F286" s="503" t="s">
        <v>795</v>
      </c>
      <c r="G286" s="504" t="s">
        <v>622</v>
      </c>
    </row>
    <row r="287" spans="1:7">
      <c r="A287" s="499">
        <v>0</v>
      </c>
      <c r="B287" s="499">
        <v>2555</v>
      </c>
      <c r="C287" s="500" t="s">
        <v>618</v>
      </c>
      <c r="D287" s="500" t="s">
        <v>619</v>
      </c>
      <c r="E287" s="499">
        <v>227</v>
      </c>
      <c r="F287" s="499" t="s">
        <v>796</v>
      </c>
      <c r="G287" s="500" t="s">
        <v>622</v>
      </c>
    </row>
    <row r="288" spans="1:7">
      <c r="A288" s="503">
        <v>0</v>
      </c>
      <c r="B288" s="503">
        <v>2555</v>
      </c>
      <c r="C288" s="504" t="s">
        <v>618</v>
      </c>
      <c r="D288" s="504" t="s">
        <v>619</v>
      </c>
      <c r="E288" s="503">
        <v>229</v>
      </c>
      <c r="F288" s="503" t="s">
        <v>797</v>
      </c>
      <c r="G288" s="504" t="s">
        <v>622</v>
      </c>
    </row>
    <row r="289" spans="1:7">
      <c r="A289" s="499">
        <v>0</v>
      </c>
      <c r="B289" s="499">
        <v>2555</v>
      </c>
      <c r="C289" s="500" t="s">
        <v>618</v>
      </c>
      <c r="D289" s="500" t="s">
        <v>619</v>
      </c>
      <c r="E289" s="499">
        <v>230</v>
      </c>
      <c r="F289" s="499" t="s">
        <v>798</v>
      </c>
      <c r="G289" s="500" t="s">
        <v>622</v>
      </c>
    </row>
    <row r="290" spans="1:7">
      <c r="A290" s="503">
        <v>0</v>
      </c>
      <c r="B290" s="503">
        <v>2555</v>
      </c>
      <c r="C290" s="504" t="s">
        <v>618</v>
      </c>
      <c r="D290" s="504" t="s">
        <v>619</v>
      </c>
      <c r="E290" s="503">
        <v>231</v>
      </c>
      <c r="F290" s="503" t="s">
        <v>799</v>
      </c>
      <c r="G290" s="504" t="s">
        <v>622</v>
      </c>
    </row>
    <row r="291" spans="1:7">
      <c r="A291" s="499">
        <v>0</v>
      </c>
      <c r="B291" s="499">
        <v>2555</v>
      </c>
      <c r="C291" s="500" t="s">
        <v>618</v>
      </c>
      <c r="D291" s="500" t="s">
        <v>619</v>
      </c>
      <c r="E291" s="499">
        <v>232</v>
      </c>
      <c r="F291" s="499" t="s">
        <v>800</v>
      </c>
      <c r="G291" s="500" t="s">
        <v>622</v>
      </c>
    </row>
    <row r="292" spans="1:7">
      <c r="A292" s="503">
        <v>0</v>
      </c>
      <c r="B292" s="503">
        <v>2555</v>
      </c>
      <c r="C292" s="504" t="s">
        <v>618</v>
      </c>
      <c r="D292" s="504" t="s">
        <v>619</v>
      </c>
      <c r="E292" s="503">
        <v>233</v>
      </c>
      <c r="F292" s="503" t="s">
        <v>801</v>
      </c>
      <c r="G292" s="504" t="s">
        <v>622</v>
      </c>
    </row>
    <row r="293" spans="1:7">
      <c r="A293" s="499">
        <v>0</v>
      </c>
      <c r="B293" s="499">
        <v>2555</v>
      </c>
      <c r="C293" s="500" t="s">
        <v>618</v>
      </c>
      <c r="D293" s="500" t="s">
        <v>619</v>
      </c>
      <c r="E293" s="499">
        <v>234</v>
      </c>
      <c r="F293" s="499" t="s">
        <v>802</v>
      </c>
      <c r="G293" s="500" t="s">
        <v>622</v>
      </c>
    </row>
    <row r="294" spans="1:7">
      <c r="A294" s="503">
        <v>0</v>
      </c>
      <c r="B294" s="503">
        <v>2555</v>
      </c>
      <c r="C294" s="504" t="s">
        <v>618</v>
      </c>
      <c r="D294" s="504" t="s">
        <v>619</v>
      </c>
      <c r="E294" s="503">
        <v>235</v>
      </c>
      <c r="F294" s="503" t="s">
        <v>803</v>
      </c>
      <c r="G294" s="504" t="s">
        <v>622</v>
      </c>
    </row>
    <row r="295" spans="1:7">
      <c r="A295" s="499">
        <v>0</v>
      </c>
      <c r="B295" s="499">
        <v>2555</v>
      </c>
      <c r="C295" s="500" t="s">
        <v>618</v>
      </c>
      <c r="D295" s="500" t="s">
        <v>619</v>
      </c>
      <c r="E295" s="499">
        <v>236</v>
      </c>
      <c r="F295" s="499" t="s">
        <v>804</v>
      </c>
      <c r="G295" s="500" t="s">
        <v>622</v>
      </c>
    </row>
    <row r="296" spans="1:7">
      <c r="A296" s="503">
        <v>0</v>
      </c>
      <c r="B296" s="503">
        <v>2555</v>
      </c>
      <c r="C296" s="504" t="s">
        <v>618</v>
      </c>
      <c r="D296" s="504" t="s">
        <v>619</v>
      </c>
      <c r="E296" s="503">
        <v>237</v>
      </c>
      <c r="F296" s="503" t="s">
        <v>805</v>
      </c>
      <c r="G296" s="504" t="s">
        <v>622</v>
      </c>
    </row>
    <row r="297" spans="1:7" ht="25.5">
      <c r="A297" s="499">
        <v>0</v>
      </c>
      <c r="B297" s="499">
        <v>2555</v>
      </c>
      <c r="C297" s="500" t="s">
        <v>618</v>
      </c>
      <c r="D297" s="500" t="s">
        <v>619</v>
      </c>
      <c r="E297" s="499">
        <v>238</v>
      </c>
      <c r="F297" s="501" t="s">
        <v>806</v>
      </c>
      <c r="G297" s="502" t="s">
        <v>622</v>
      </c>
    </row>
    <row r="298" spans="1:7" ht="25.5">
      <c r="A298" s="503">
        <v>0</v>
      </c>
      <c r="B298" s="503">
        <v>2555</v>
      </c>
      <c r="C298" s="504" t="s">
        <v>618</v>
      </c>
      <c r="D298" s="504" t="s">
        <v>619</v>
      </c>
      <c r="E298" s="503">
        <v>239</v>
      </c>
      <c r="F298" s="503" t="s">
        <v>807</v>
      </c>
      <c r="G298" s="504" t="s">
        <v>622</v>
      </c>
    </row>
    <row r="299" spans="1:7" ht="25.5">
      <c r="A299" s="499">
        <v>0</v>
      </c>
      <c r="B299" s="499">
        <v>2555</v>
      </c>
      <c r="C299" s="500" t="s">
        <v>618</v>
      </c>
      <c r="D299" s="500" t="s">
        <v>619</v>
      </c>
      <c r="E299" s="499">
        <v>240</v>
      </c>
      <c r="F299" s="499" t="s">
        <v>808</v>
      </c>
      <c r="G299" s="500" t="s">
        <v>622</v>
      </c>
    </row>
    <row r="300" spans="1:7" ht="25.5">
      <c r="A300" s="503">
        <v>0</v>
      </c>
      <c r="B300" s="503">
        <v>2555</v>
      </c>
      <c r="C300" s="504" t="s">
        <v>618</v>
      </c>
      <c r="D300" s="504" t="s">
        <v>619</v>
      </c>
      <c r="E300" s="503">
        <v>241</v>
      </c>
      <c r="F300" s="503" t="s">
        <v>809</v>
      </c>
      <c r="G300" s="504" t="s">
        <v>622</v>
      </c>
    </row>
    <row r="301" spans="1:7" ht="25.5">
      <c r="A301" s="499">
        <v>0</v>
      </c>
      <c r="B301" s="499">
        <v>2555</v>
      </c>
      <c r="C301" s="500" t="s">
        <v>618</v>
      </c>
      <c r="D301" s="500" t="s">
        <v>619</v>
      </c>
      <c r="E301" s="499">
        <v>242</v>
      </c>
      <c r="F301" s="499" t="s">
        <v>810</v>
      </c>
      <c r="G301" s="500" t="s">
        <v>622</v>
      </c>
    </row>
    <row r="302" spans="1:7" ht="25.5">
      <c r="A302" s="503">
        <v>0</v>
      </c>
      <c r="B302" s="503">
        <v>2555</v>
      </c>
      <c r="C302" s="504" t="s">
        <v>618</v>
      </c>
      <c r="D302" s="504" t="s">
        <v>619</v>
      </c>
      <c r="E302" s="503">
        <v>243</v>
      </c>
      <c r="F302" s="503" t="s">
        <v>811</v>
      </c>
      <c r="G302" s="504" t="s">
        <v>622</v>
      </c>
    </row>
    <row r="303" spans="1:7" ht="25.5">
      <c r="A303" s="499">
        <v>0</v>
      </c>
      <c r="B303" s="499">
        <v>2555</v>
      </c>
      <c r="C303" s="500" t="s">
        <v>618</v>
      </c>
      <c r="D303" s="500" t="s">
        <v>619</v>
      </c>
      <c r="E303" s="499">
        <v>245</v>
      </c>
      <c r="F303" s="499" t="s">
        <v>812</v>
      </c>
      <c r="G303" s="500" t="s">
        <v>622</v>
      </c>
    </row>
    <row r="304" spans="1:7" ht="25.5">
      <c r="A304" s="503">
        <v>0</v>
      </c>
      <c r="B304" s="503">
        <v>2555</v>
      </c>
      <c r="C304" s="504" t="s">
        <v>618</v>
      </c>
      <c r="D304" s="504" t="s">
        <v>619</v>
      </c>
      <c r="E304" s="503">
        <v>246</v>
      </c>
      <c r="F304" s="503" t="s">
        <v>813</v>
      </c>
      <c r="G304" s="504" t="s">
        <v>622</v>
      </c>
    </row>
    <row r="305" spans="1:7" ht="25.5">
      <c r="A305" s="499">
        <v>0</v>
      </c>
      <c r="B305" s="499">
        <v>2555</v>
      </c>
      <c r="C305" s="500" t="s">
        <v>618</v>
      </c>
      <c r="D305" s="500" t="s">
        <v>619</v>
      </c>
      <c r="E305" s="499">
        <v>247</v>
      </c>
      <c r="F305" s="499" t="s">
        <v>814</v>
      </c>
      <c r="G305" s="500" t="s">
        <v>622</v>
      </c>
    </row>
    <row r="306" spans="1:7" ht="25.5">
      <c r="A306" s="503">
        <v>0</v>
      </c>
      <c r="B306" s="503">
        <v>2555</v>
      </c>
      <c r="C306" s="504" t="s">
        <v>618</v>
      </c>
      <c r="D306" s="504" t="s">
        <v>619</v>
      </c>
      <c r="E306" s="503">
        <v>248</v>
      </c>
      <c r="F306" s="503" t="s">
        <v>815</v>
      </c>
      <c r="G306" s="504" t="s">
        <v>622</v>
      </c>
    </row>
    <row r="307" spans="1:7" ht="25.5">
      <c r="A307" s="499">
        <v>0</v>
      </c>
      <c r="B307" s="499">
        <v>2555</v>
      </c>
      <c r="C307" s="500" t="s">
        <v>618</v>
      </c>
      <c r="D307" s="500" t="s">
        <v>619</v>
      </c>
      <c r="E307" s="499">
        <v>249</v>
      </c>
      <c r="F307" s="499" t="s">
        <v>816</v>
      </c>
      <c r="G307" s="500" t="s">
        <v>622</v>
      </c>
    </row>
    <row r="308" spans="1:7" ht="25.5">
      <c r="A308" s="503">
        <v>0</v>
      </c>
      <c r="B308" s="503">
        <v>2555</v>
      </c>
      <c r="C308" s="504" t="s">
        <v>618</v>
      </c>
      <c r="D308" s="504" t="s">
        <v>619</v>
      </c>
      <c r="E308" s="503">
        <v>250</v>
      </c>
      <c r="F308" s="503" t="s">
        <v>817</v>
      </c>
      <c r="G308" s="504" t="s">
        <v>622</v>
      </c>
    </row>
    <row r="309" spans="1:7" ht="25.5">
      <c r="A309" s="499">
        <v>0</v>
      </c>
      <c r="B309" s="499">
        <v>2555</v>
      </c>
      <c r="C309" s="500" t="s">
        <v>618</v>
      </c>
      <c r="D309" s="500" t="s">
        <v>619</v>
      </c>
      <c r="E309" s="499">
        <v>251</v>
      </c>
      <c r="F309" s="499" t="s">
        <v>818</v>
      </c>
      <c r="G309" s="500" t="s">
        <v>622</v>
      </c>
    </row>
    <row r="310" spans="1:7" ht="25.5">
      <c r="A310" s="503">
        <v>0</v>
      </c>
      <c r="B310" s="503">
        <v>2555</v>
      </c>
      <c r="C310" s="504" t="s">
        <v>618</v>
      </c>
      <c r="D310" s="504" t="s">
        <v>619</v>
      </c>
      <c r="E310" s="503">
        <v>252</v>
      </c>
      <c r="F310" s="503" t="s">
        <v>819</v>
      </c>
      <c r="G310" s="504" t="s">
        <v>622</v>
      </c>
    </row>
    <row r="311" spans="1:7" ht="25.5">
      <c r="A311" s="499">
        <v>0</v>
      </c>
      <c r="B311" s="499">
        <v>2555</v>
      </c>
      <c r="C311" s="500" t="s">
        <v>618</v>
      </c>
      <c r="D311" s="500" t="s">
        <v>619</v>
      </c>
      <c r="E311" s="499">
        <v>253</v>
      </c>
      <c r="F311" s="499" t="s">
        <v>820</v>
      </c>
      <c r="G311" s="500" t="s">
        <v>622</v>
      </c>
    </row>
    <row r="312" spans="1:7">
      <c r="A312" s="503">
        <v>0</v>
      </c>
      <c r="B312" s="503">
        <v>2555</v>
      </c>
      <c r="C312" s="504" t="s">
        <v>618</v>
      </c>
      <c r="D312" s="504" t="s">
        <v>619</v>
      </c>
      <c r="E312" s="503">
        <v>608</v>
      </c>
      <c r="F312" s="501" t="s">
        <v>821</v>
      </c>
      <c r="G312" s="502" t="s">
        <v>622</v>
      </c>
    </row>
    <row r="313" spans="1:7">
      <c r="A313" s="499">
        <v>0</v>
      </c>
      <c r="B313" s="499">
        <v>2555</v>
      </c>
      <c r="C313" s="500" t="s">
        <v>618</v>
      </c>
      <c r="D313" s="500" t="s">
        <v>619</v>
      </c>
      <c r="E313" s="499">
        <v>609</v>
      </c>
      <c r="F313" s="501" t="s">
        <v>822</v>
      </c>
      <c r="G313" s="502" t="s">
        <v>622</v>
      </c>
    </row>
    <row r="314" spans="1:7">
      <c r="A314" s="503">
        <v>0</v>
      </c>
      <c r="B314" s="503">
        <v>2555</v>
      </c>
      <c r="C314" s="504" t="s">
        <v>618</v>
      </c>
      <c r="D314" s="504" t="s">
        <v>619</v>
      </c>
      <c r="E314" s="503">
        <v>610</v>
      </c>
      <c r="F314" s="501" t="s">
        <v>823</v>
      </c>
      <c r="G314" s="502" t="s">
        <v>622</v>
      </c>
    </row>
  </sheetData>
  <mergeCells count="3">
    <mergeCell ref="F2:G2"/>
    <mergeCell ref="F1:G1"/>
    <mergeCell ref="J4:L4"/>
  </mergeCells>
  <pageMargins left="0.7" right="0.7" top="0.75" bottom="0.75" header="0.3" footer="0.3"/>
  <pageSetup paperSize="9" scale="76" orientation="portrait" horizontalDpi="200" verticalDpi="200" r:id="rId1"/>
  <colBreaks count="1" manualBreakCount="1">
    <brk id="5" max="3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view="pageBreakPreview" zoomScaleNormal="100" zoomScaleSheetLayoutView="100" workbookViewId="0">
      <selection activeCell="E17" sqref="E17"/>
    </sheetView>
  </sheetViews>
  <sheetFormatPr defaultRowHeight="20.25"/>
  <cols>
    <col min="1" max="16384" width="9.140625" style="426"/>
  </cols>
  <sheetData>
    <row r="2" spans="1:11" ht="26.25">
      <c r="A2" s="704" t="s">
        <v>525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</row>
    <row r="3" spans="1:11" ht="23.25">
      <c r="A3" s="427"/>
      <c r="B3" s="427"/>
      <c r="C3" s="427"/>
      <c r="D3" s="427"/>
      <c r="E3" s="427"/>
      <c r="F3" s="427"/>
      <c r="G3" s="427"/>
      <c r="H3" s="427"/>
      <c r="I3" s="427"/>
    </row>
    <row r="5" spans="1:11" ht="23.25">
      <c r="A5" s="82"/>
      <c r="B5" s="82" t="s">
        <v>860</v>
      </c>
      <c r="C5" s="82"/>
      <c r="D5" s="82"/>
      <c r="E5" s="82"/>
      <c r="F5" s="82"/>
      <c r="G5" s="82"/>
      <c r="H5" s="82"/>
      <c r="I5" s="82"/>
    </row>
    <row r="6" spans="1:11" ht="23.25">
      <c r="A6" s="700" t="s">
        <v>824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</row>
    <row r="7" spans="1:11" ht="23.25">
      <c r="A7" s="700" t="s">
        <v>861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</row>
    <row r="8" spans="1:11" ht="23.25">
      <c r="A8" s="82"/>
      <c r="B8" s="82"/>
      <c r="C8" s="82"/>
      <c r="D8" s="82"/>
      <c r="E8" s="82"/>
      <c r="F8" s="82"/>
      <c r="G8" s="82"/>
      <c r="H8" s="82"/>
      <c r="I8" s="82"/>
    </row>
    <row r="9" spans="1:11" ht="23.25">
      <c r="A9" s="82"/>
      <c r="B9" s="82" t="s">
        <v>862</v>
      </c>
      <c r="C9" s="82"/>
      <c r="D9" s="82"/>
      <c r="E9" s="82"/>
      <c r="F9" s="82"/>
      <c r="G9" s="82"/>
      <c r="H9" s="82"/>
      <c r="I9" s="82"/>
    </row>
    <row r="10" spans="1:11" ht="23.25">
      <c r="A10" s="82" t="s">
        <v>825</v>
      </c>
      <c r="B10" s="82"/>
      <c r="C10" s="82"/>
      <c r="D10" s="82"/>
      <c r="E10" s="82"/>
      <c r="F10" s="82"/>
      <c r="G10" s="82"/>
      <c r="H10" s="82"/>
      <c r="I10" s="82"/>
    </row>
    <row r="11" spans="1:11" ht="23.25">
      <c r="A11" s="82"/>
      <c r="B11" s="82"/>
      <c r="C11" s="82"/>
      <c r="D11" s="82"/>
      <c r="E11" s="82"/>
      <c r="F11" s="82"/>
      <c r="G11" s="82"/>
      <c r="H11" s="82"/>
      <c r="I11" s="82"/>
    </row>
    <row r="12" spans="1:11" ht="23.25">
      <c r="A12" s="82"/>
      <c r="B12" s="82"/>
      <c r="C12" s="82"/>
      <c r="D12" s="82"/>
      <c r="E12" s="82"/>
      <c r="F12" s="82"/>
      <c r="G12" s="82"/>
      <c r="H12" s="82"/>
      <c r="I12" s="82"/>
    </row>
    <row r="13" spans="1:11" ht="23.25">
      <c r="A13" s="82"/>
      <c r="B13" s="82"/>
      <c r="C13" s="82"/>
      <c r="D13" s="82" t="s">
        <v>522</v>
      </c>
      <c r="E13" s="700" t="s">
        <v>526</v>
      </c>
      <c r="F13" s="700"/>
      <c r="G13" s="700"/>
      <c r="H13" s="700"/>
      <c r="I13" s="82"/>
    </row>
    <row r="14" spans="1:11" ht="23.25">
      <c r="A14" s="82"/>
      <c r="B14" s="82"/>
      <c r="C14" s="82"/>
      <c r="D14" s="703" t="s">
        <v>863</v>
      </c>
      <c r="E14" s="703"/>
      <c r="F14" s="703"/>
      <c r="G14" s="703"/>
      <c r="H14" s="703"/>
      <c r="I14" s="703"/>
    </row>
    <row r="15" spans="1:11" ht="23.25">
      <c r="A15" s="82"/>
      <c r="B15" s="82"/>
      <c r="C15" s="82"/>
      <c r="D15" s="703" t="s">
        <v>864</v>
      </c>
      <c r="E15" s="703"/>
      <c r="F15" s="703"/>
      <c r="G15" s="703"/>
      <c r="H15" s="703"/>
      <c r="I15" s="703"/>
    </row>
    <row r="16" spans="1:11" ht="23.25">
      <c r="A16" s="82"/>
      <c r="B16" s="82"/>
      <c r="C16" s="82"/>
      <c r="D16" s="82"/>
      <c r="E16" s="703" t="s">
        <v>865</v>
      </c>
      <c r="F16" s="703"/>
      <c r="G16" s="703"/>
      <c r="H16" s="703"/>
      <c r="I16" s="82"/>
    </row>
    <row r="17" spans="1:9" ht="23.2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23.25">
      <c r="A18" s="82"/>
      <c r="B18" s="82"/>
      <c r="C18" s="82"/>
      <c r="D18" s="82"/>
      <c r="E18" s="82"/>
      <c r="F18" s="82"/>
      <c r="G18" s="82"/>
      <c r="H18" s="82"/>
      <c r="I18" s="82"/>
    </row>
  </sheetData>
  <mergeCells count="7">
    <mergeCell ref="A6:K6"/>
    <mergeCell ref="A2:K2"/>
    <mergeCell ref="E13:H13"/>
    <mergeCell ref="D15:I15"/>
    <mergeCell ref="E16:H16"/>
    <mergeCell ref="D14:I14"/>
    <mergeCell ref="A7:K7"/>
  </mergeCells>
  <pageMargins left="1.1599999999999999" right="0.4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31"/>
  <sheetViews>
    <sheetView view="pageBreakPreview" zoomScaleNormal="120" zoomScaleSheetLayoutView="100" workbookViewId="0">
      <selection activeCell="G9" sqref="G9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32.8554687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.140625" style="78" customWidth="1"/>
    <col min="21" max="21" width="4" style="78" customWidth="1"/>
    <col min="22" max="22" width="4.7109375" style="78" customWidth="1"/>
    <col min="23" max="23" width="3.85546875" style="78" customWidth="1"/>
    <col min="24" max="26" width="4.42578125" style="78" customWidth="1"/>
    <col min="27" max="27" width="5" style="78" customWidth="1"/>
    <col min="28" max="28" width="5.5703125" style="78" customWidth="1"/>
    <col min="29" max="29" width="4.85546875" style="78" customWidth="1"/>
    <col min="30" max="16384" width="9.140625" style="78"/>
  </cols>
  <sheetData>
    <row r="1" spans="1:29" ht="26.25">
      <c r="A1" s="728" t="s">
        <v>927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140</v>
      </c>
      <c r="B6" s="79"/>
      <c r="C6" s="13"/>
      <c r="D6" s="141"/>
      <c r="E6" s="141"/>
      <c r="F6" s="13"/>
      <c r="G6" s="160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3" t="s">
        <v>219</v>
      </c>
      <c r="U8" s="203" t="s">
        <v>220</v>
      </c>
      <c r="V8" s="203" t="s">
        <v>221</v>
      </c>
      <c r="W8" s="203" t="s">
        <v>222</v>
      </c>
      <c r="X8" s="203" t="s">
        <v>223</v>
      </c>
      <c r="Y8" s="203" t="s">
        <v>224</v>
      </c>
      <c r="Z8" s="203" t="s">
        <v>225</v>
      </c>
      <c r="AA8" s="203" t="s">
        <v>226</v>
      </c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199"/>
      <c r="U9" s="200"/>
      <c r="V9" s="200"/>
      <c r="W9" s="200"/>
      <c r="X9" s="200"/>
      <c r="Y9" s="200"/>
      <c r="Z9" s="200"/>
      <c r="AA9" s="201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+IF(G6&lt;&gt;"ประเมิน","",(COUNTIF(B28:B28,$J$1)))</f>
        <v>0</v>
      </c>
      <c r="Y10" s="202">
        <f>+IF(G6&lt;&gt;"ประเมิน","",(COUNTIF(B29:B29,$J$1)))</f>
        <v>0</v>
      </c>
      <c r="Z10" s="202">
        <f>+IF(G6&lt;&gt;"ประเมิน","",(COUNTIF(B30:B30,$J$1)))</f>
        <v>0</v>
      </c>
      <c r="AA10" s="202">
        <f>+IF(G6&lt;&gt;"ประเมิน","",(COUNTIF(B31:B31,$J$1)))</f>
        <v>0</v>
      </c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+IF(G6&lt;&gt;"ประเมิน",G6,(COUNTIF(B16:B31,$J$1)))</f>
        <v>0</v>
      </c>
      <c r="D11" s="92">
        <f>IF(G6&lt;&gt;"ประเมิน",G6,IF(C11&gt;7,5,IF(C11&gt;5,4,IF(C11&gt;3,3,IF(C11&gt;1,2,IF(C11&gt;0,1,0))))))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9" s="87" customFormat="1" ht="212.25" customHeight="1">
      <c r="A16" s="100"/>
      <c r="B16" s="31" t="str">
        <f t="shared" ref="B16:B29" si="0">IF(G16="มีการดำเนินการ",$J$1, IF(A16=0,$J$2,$A$5))</f>
        <v>¨</v>
      </c>
      <c r="C16" s="86" t="s">
        <v>141</v>
      </c>
      <c r="D16" s="733"/>
      <c r="E16" s="734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142</v>
      </c>
      <c r="D17" s="733"/>
      <c r="E17" s="734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1" t="s">
        <v>495</v>
      </c>
      <c r="G21" s="90" t="s">
        <v>60</v>
      </c>
    </row>
    <row r="22" spans="1:7" s="87" customFormat="1" ht="183.75" customHeight="1">
      <c r="A22" s="100"/>
      <c r="B22" s="31" t="str">
        <f t="shared" si="0"/>
        <v>¨</v>
      </c>
      <c r="C22" s="94" t="s">
        <v>143</v>
      </c>
      <c r="D22" s="735"/>
      <c r="E22" s="735"/>
      <c r="F22" s="397"/>
      <c r="G22" s="378" t="s">
        <v>32</v>
      </c>
    </row>
    <row r="23" spans="1:7" s="87" customFormat="1" ht="84">
      <c r="A23" s="100"/>
      <c r="B23" s="31" t="str">
        <f t="shared" si="0"/>
        <v>¨</v>
      </c>
      <c r="C23" s="86" t="s">
        <v>144</v>
      </c>
      <c r="D23" s="735"/>
      <c r="E23" s="735"/>
      <c r="F23" s="397"/>
      <c r="G23" s="378" t="s">
        <v>32</v>
      </c>
    </row>
    <row r="24" spans="1:7" s="87" customFormat="1" ht="26.25" customHeight="1">
      <c r="A24" s="100"/>
      <c r="B24" s="121"/>
      <c r="C24" s="122"/>
      <c r="D24" s="143"/>
      <c r="E24" s="143"/>
      <c r="G24" s="123"/>
    </row>
    <row r="25" spans="1:7" s="85" customFormat="1" ht="23.25">
      <c r="A25" s="727" t="s">
        <v>77</v>
      </c>
      <c r="B25" s="727"/>
      <c r="C25" s="727"/>
      <c r="D25" s="727"/>
      <c r="E25" s="727"/>
      <c r="F25" s="727"/>
      <c r="G25" s="727"/>
    </row>
    <row r="26" spans="1:7" s="85" customFormat="1" ht="5.25" customHeight="1">
      <c r="A26" s="84"/>
      <c r="B26" s="83"/>
      <c r="C26" s="84"/>
      <c r="D26" s="142"/>
      <c r="E26" s="142"/>
      <c r="F26" s="84"/>
      <c r="G26" s="84"/>
    </row>
    <row r="27" spans="1:7" s="91" customFormat="1" ht="34.5" customHeight="1">
      <c r="A27" s="98"/>
      <c r="B27" s="99"/>
      <c r="C27" s="90" t="s">
        <v>76</v>
      </c>
      <c r="D27" s="732" t="s">
        <v>0</v>
      </c>
      <c r="E27" s="732"/>
      <c r="F27" s="441" t="s">
        <v>495</v>
      </c>
      <c r="G27" s="90" t="s">
        <v>60</v>
      </c>
    </row>
    <row r="28" spans="1:7" s="87" customFormat="1" ht="42">
      <c r="A28" s="100"/>
      <c r="B28" s="31" t="str">
        <f t="shared" si="0"/>
        <v>¨</v>
      </c>
      <c r="C28" s="86" t="s">
        <v>145</v>
      </c>
      <c r="D28" s="735"/>
      <c r="E28" s="735"/>
      <c r="F28" s="397"/>
      <c r="G28" s="378" t="s">
        <v>32</v>
      </c>
    </row>
    <row r="29" spans="1:7" s="87" customFormat="1" ht="63">
      <c r="A29" s="100"/>
      <c r="B29" s="31" t="str">
        <f t="shared" si="0"/>
        <v>¨</v>
      </c>
      <c r="C29" s="86" t="s">
        <v>146</v>
      </c>
      <c r="D29" s="735"/>
      <c r="E29" s="735"/>
      <c r="F29" s="397"/>
      <c r="G29" s="378" t="s">
        <v>32</v>
      </c>
    </row>
    <row r="30" spans="1:7" s="87" customFormat="1" ht="84">
      <c r="A30" s="100"/>
      <c r="B30" s="31" t="str">
        <f t="shared" ref="B30:B31" si="1">IF(G30="มีการดำเนินการ",$J$1, IF(A30=0,$J$2,$A$5))</f>
        <v>¨</v>
      </c>
      <c r="C30" s="86" t="s">
        <v>147</v>
      </c>
      <c r="D30" s="735"/>
      <c r="E30" s="735"/>
      <c r="F30" s="397"/>
      <c r="G30" s="378" t="s">
        <v>32</v>
      </c>
    </row>
    <row r="31" spans="1:7" s="87" customFormat="1" ht="63">
      <c r="A31" s="100"/>
      <c r="B31" s="31" t="str">
        <f t="shared" si="1"/>
        <v>¨</v>
      </c>
      <c r="C31" s="86" t="s">
        <v>148</v>
      </c>
      <c r="D31" s="735"/>
      <c r="E31" s="735"/>
      <c r="F31" s="397"/>
      <c r="G31" s="378" t="s">
        <v>32</v>
      </c>
    </row>
  </sheetData>
  <mergeCells count="21">
    <mergeCell ref="D29:E29"/>
    <mergeCell ref="D30:E30"/>
    <mergeCell ref="D31:E31"/>
    <mergeCell ref="D21:E21"/>
    <mergeCell ref="D22:E22"/>
    <mergeCell ref="D23:E23"/>
    <mergeCell ref="A25:G25"/>
    <mergeCell ref="D27:E27"/>
    <mergeCell ref="D28:E28"/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</mergeCells>
  <dataValidations count="2">
    <dataValidation type="list" errorStyle="information" allowBlank="1" showInputMessage="1" showErrorMessage="1" prompt="กรุณาเลือก" sqref="G6">
      <formula1>$K$5:$K$8</formula1>
    </dataValidation>
    <dataValidation type="list" allowBlank="1" showInputMessage="1" showErrorMessage="1" sqref="G16:G18 G22:G24 G28:G31">
      <formula1>$K$1:$K$3</formula1>
    </dataValidation>
  </dataValidations>
  <pageMargins left="0.39370078740157483" right="0.19685039370078741" top="0.74803149606299213" bottom="0.74803149606299213" header="0.31496062992125984" footer="0.31496062992125984"/>
  <pageSetup paperSize="9" orientation="landscape" r:id="rId1"/>
  <rowBreaks count="3" manualBreakCount="3">
    <brk id="12" max="6" man="1"/>
    <brk id="17" max="6" man="1"/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27"/>
  <sheetViews>
    <sheetView view="pageBreakPreview" topLeftCell="A4" zoomScaleNormal="120" zoomScaleSheetLayoutView="100" workbookViewId="0">
      <selection activeCell="U16" sqref="U16"/>
    </sheetView>
  </sheetViews>
  <sheetFormatPr defaultColWidth="9.140625" defaultRowHeight="21"/>
  <cols>
    <col min="1" max="1" width="1.7109375" style="78" customWidth="1"/>
    <col min="2" max="2" width="3.85546875" style="80" customWidth="1"/>
    <col min="3" max="3" width="34.85546875" style="78" customWidth="1"/>
    <col min="4" max="4" width="17.140625" style="145" customWidth="1"/>
    <col min="5" max="5" width="17.42578125" style="145" customWidth="1"/>
    <col min="6" max="6" width="40.140625" style="78" customWidth="1"/>
    <col min="7" max="7" width="23.140625" style="85" customWidth="1"/>
    <col min="8" max="10" width="0" style="78" hidden="1" customWidth="1"/>
    <col min="11" max="11" width="26.7109375" style="78" hidden="1" customWidth="1"/>
    <col min="12" max="13" width="0" style="78" hidden="1" customWidth="1"/>
    <col min="14" max="15" width="9.140625" style="78" hidden="1" customWidth="1"/>
    <col min="16" max="18" width="0" style="78" hidden="1" customWidth="1"/>
    <col min="19" max="19" width="9.140625" style="78"/>
    <col min="20" max="20" width="5.42578125" style="78" customWidth="1"/>
    <col min="21" max="21" width="4.85546875" style="78" customWidth="1"/>
    <col min="22" max="23" width="4.28515625" style="78" customWidth="1"/>
    <col min="24" max="24" width="4.140625" style="78" customWidth="1"/>
    <col min="25" max="25" width="4" style="78" customWidth="1"/>
    <col min="26" max="26" width="3.85546875" style="78" customWidth="1"/>
    <col min="27" max="27" width="4.42578125" style="78" customWidth="1"/>
    <col min="28" max="28" width="6.5703125" style="78" customWidth="1"/>
    <col min="29" max="29" width="6.7109375" style="78" customWidth="1"/>
    <col min="30" max="16384" width="9.140625" style="78"/>
  </cols>
  <sheetData>
    <row r="1" spans="1:29" ht="26.25">
      <c r="A1" s="728" t="str">
        <f>'1.1'!A1:G1</f>
        <v>รายงานการประเมินคุณภาพภายในระดับภาควิชาหรือหน่วยงานเทียบเท่าปีการศึกษา 2556</v>
      </c>
      <c r="B1" s="728"/>
      <c r="C1" s="728"/>
      <c r="D1" s="728"/>
      <c r="E1" s="728"/>
      <c r="F1" s="728"/>
      <c r="G1" s="728"/>
      <c r="H1" s="77"/>
      <c r="J1" s="81" t="s">
        <v>29</v>
      </c>
      <c r="K1" s="51" t="s">
        <v>32</v>
      </c>
      <c r="N1" s="16"/>
      <c r="P1" s="17" t="s">
        <v>9</v>
      </c>
    </row>
    <row r="2" spans="1:29" ht="26.25">
      <c r="A2" s="729" t="str">
        <f>ปก!B7</f>
        <v>วิทยาลัยนวัตกรรมการจัดการ</v>
      </c>
      <c r="B2" s="729"/>
      <c r="C2" s="729"/>
      <c r="D2" s="729"/>
      <c r="E2" s="729"/>
      <c r="F2" s="729"/>
      <c r="G2" s="729"/>
      <c r="H2" s="77"/>
      <c r="J2" s="81" t="s">
        <v>30</v>
      </c>
      <c r="K2" s="51" t="s">
        <v>31</v>
      </c>
      <c r="N2" s="16"/>
      <c r="P2" s="17">
        <v>100</v>
      </c>
    </row>
    <row r="3" spans="1:29" ht="26.25">
      <c r="A3" s="729" t="str">
        <f>ปก!B8</f>
        <v>(ใส่ชื่อสาขาต้องพิมพ์ ถ้าจัดทำในระดับสาขา ถ้าในระดับคณะหน่วยงานว่างไว้)</v>
      </c>
      <c r="B3" s="729"/>
      <c r="C3" s="729"/>
      <c r="D3" s="729"/>
      <c r="E3" s="729"/>
      <c r="F3" s="729"/>
      <c r="G3" s="729"/>
      <c r="H3" s="77"/>
      <c r="K3" s="48" t="s">
        <v>72</v>
      </c>
    </row>
    <row r="4" spans="1:29" ht="26.25">
      <c r="A4" s="728" t="str">
        <f>ปก!B9</f>
        <v>กลุ่มสาขาวิชามนุษยศาสตร์และสังคมศาสตร์</v>
      </c>
      <c r="B4" s="728"/>
      <c r="C4" s="728"/>
      <c r="D4" s="728"/>
      <c r="E4" s="728"/>
      <c r="F4" s="728"/>
      <c r="G4" s="728"/>
      <c r="H4" s="77"/>
    </row>
    <row r="5" spans="1:29" ht="8.25" customHeight="1">
      <c r="A5" s="13"/>
      <c r="B5" s="79"/>
      <c r="C5" s="13"/>
      <c r="D5" s="141"/>
      <c r="E5" s="141"/>
      <c r="F5" s="13"/>
      <c r="G5" s="84"/>
      <c r="K5" s="82" t="s">
        <v>61</v>
      </c>
      <c r="N5" s="17"/>
      <c r="O5" s="17"/>
    </row>
    <row r="6" spans="1:29" ht="23.25">
      <c r="A6" s="102" t="s">
        <v>149</v>
      </c>
      <c r="B6" s="79"/>
      <c r="C6" s="13"/>
      <c r="D6" s="141"/>
      <c r="E6" s="141"/>
      <c r="F6" s="13"/>
      <c r="G6" s="160" t="s">
        <v>61</v>
      </c>
      <c r="K6" s="82" t="s">
        <v>62</v>
      </c>
      <c r="N6" s="17"/>
      <c r="O6" s="17"/>
    </row>
    <row r="7" spans="1:29" ht="23.25">
      <c r="A7" s="15"/>
      <c r="B7" s="79"/>
      <c r="C7" s="13"/>
      <c r="D7" s="141"/>
      <c r="E7" s="141"/>
      <c r="F7" s="13"/>
      <c r="G7" s="84"/>
      <c r="K7" s="82" t="s">
        <v>73</v>
      </c>
    </row>
    <row r="8" spans="1:29" s="85" customFormat="1" ht="23.25">
      <c r="A8" s="727" t="s">
        <v>160</v>
      </c>
      <c r="B8" s="727"/>
      <c r="C8" s="727"/>
      <c r="D8" s="727"/>
      <c r="E8" s="727"/>
      <c r="F8" s="727"/>
      <c r="G8" s="727"/>
      <c r="K8" s="85" t="s">
        <v>74</v>
      </c>
      <c r="T8" s="207" t="s">
        <v>219</v>
      </c>
      <c r="U8" s="207" t="s">
        <v>220</v>
      </c>
      <c r="V8" s="207" t="s">
        <v>221</v>
      </c>
      <c r="W8" s="207" t="s">
        <v>222</v>
      </c>
      <c r="X8" s="207" t="s">
        <v>223</v>
      </c>
      <c r="Y8" s="205"/>
      <c r="Z8" s="205"/>
      <c r="AA8" s="205"/>
      <c r="AC8" s="85" t="s">
        <v>60</v>
      </c>
    </row>
    <row r="9" spans="1:29" s="85" customFormat="1" ht="14.25" customHeight="1">
      <c r="A9" s="84"/>
      <c r="B9" s="83"/>
      <c r="C9" s="84"/>
      <c r="D9" s="142"/>
      <c r="E9" s="142"/>
      <c r="F9" s="84"/>
      <c r="G9" s="84"/>
      <c r="T9" s="208"/>
      <c r="U9" s="209"/>
      <c r="V9" s="209"/>
      <c r="W9" s="209"/>
      <c r="X9" s="210"/>
      <c r="Y9" s="198"/>
      <c r="Z9" s="198"/>
      <c r="AA9" s="198"/>
    </row>
    <row r="10" spans="1:29" s="85" customFormat="1" ht="26.25" customHeight="1">
      <c r="B10" s="95"/>
      <c r="C10" s="97" t="s">
        <v>60</v>
      </c>
      <c r="D10" s="150" t="s">
        <v>7</v>
      </c>
      <c r="E10" s="730"/>
      <c r="F10" s="730"/>
      <c r="G10" s="159"/>
      <c r="T10" s="202">
        <f>+IF(G6&lt;&gt;"ประเมิน","",(COUNTIF(B16:B16,$J$1)))</f>
        <v>0</v>
      </c>
      <c r="U10" s="202">
        <f>+IF(G6&lt;&gt;"ประเมิน","",(COUNTIF(B17:B17,$J$1)))</f>
        <v>0</v>
      </c>
      <c r="V10" s="202">
        <f>+IF(G6&lt;&gt;"ประเมิน","",(COUNTIF(B22:B22,$J$1)))</f>
        <v>0</v>
      </c>
      <c r="W10" s="202">
        <f>+IF(G6&lt;&gt;"ประเมิน","",(COUNTIF(B23:B23,$J$1)))</f>
        <v>0</v>
      </c>
      <c r="X10" s="202">
        <f>+IF(G6&lt;&gt;"ประเมิน","",(COUNTIF(B24:B24,$J$1)))</f>
        <v>0</v>
      </c>
      <c r="Y10" s="206"/>
      <c r="Z10" s="206"/>
      <c r="AA10" s="206"/>
      <c r="AB10" s="197"/>
      <c r="AC10" s="204">
        <f>SUM(T10:AA10)</f>
        <v>0</v>
      </c>
    </row>
    <row r="11" spans="1:29" s="89" customFormat="1" ht="30.75" customHeight="1">
      <c r="B11" s="96"/>
      <c r="C11" s="101">
        <f>+IF(G6&lt;&gt;"ประเมิน",G6,(COUNTIF(B16:B24,$J$1)))</f>
        <v>0</v>
      </c>
      <c r="D11" s="92">
        <f>IF(G6&lt;&gt;"ประเมิน",G6,IF(C11&gt;4,5,IF(C11&gt;3,4,IF(C11&gt;2,3,IF(C11&gt;1,2,IF(C11&gt;0,1,0))))))</f>
        <v>0</v>
      </c>
      <c r="E11" s="731"/>
      <c r="F11" s="731"/>
      <c r="G11" s="158"/>
    </row>
    <row r="12" spans="1:29" s="85" customFormat="1" ht="9" customHeight="1">
      <c r="A12" s="53"/>
      <c r="B12" s="83"/>
      <c r="C12" s="84"/>
      <c r="D12" s="142"/>
      <c r="E12" s="142"/>
      <c r="F12" s="84"/>
      <c r="G12" s="84"/>
    </row>
    <row r="13" spans="1:29" s="85" customFormat="1" ht="23.25">
      <c r="A13" s="727" t="s">
        <v>77</v>
      </c>
      <c r="B13" s="727"/>
      <c r="C13" s="727"/>
      <c r="D13" s="727"/>
      <c r="E13" s="727"/>
      <c r="F13" s="727"/>
      <c r="G13" s="727"/>
    </row>
    <row r="14" spans="1:29" s="85" customFormat="1" ht="5.25" customHeight="1">
      <c r="A14" s="84"/>
      <c r="B14" s="83"/>
      <c r="C14" s="84"/>
      <c r="D14" s="142"/>
      <c r="E14" s="142"/>
      <c r="F14" s="84"/>
      <c r="G14" s="84"/>
    </row>
    <row r="15" spans="1:29" s="91" customFormat="1" ht="34.5" customHeight="1">
      <c r="A15" s="98"/>
      <c r="B15" s="99"/>
      <c r="C15" s="90" t="s">
        <v>76</v>
      </c>
      <c r="D15" s="732" t="s">
        <v>0</v>
      </c>
      <c r="E15" s="732"/>
      <c r="F15" s="441" t="s">
        <v>495</v>
      </c>
      <c r="G15" s="90" t="s">
        <v>60</v>
      </c>
    </row>
    <row r="16" spans="1:29" s="87" customFormat="1" ht="135.75" customHeight="1">
      <c r="A16" s="100"/>
      <c r="B16" s="31" t="str">
        <f t="shared" ref="B16:B24" si="0">IF(G16="มีการดำเนินการ",$J$1, IF(A16=0,$J$2,$A$5))</f>
        <v>¨</v>
      </c>
      <c r="C16" s="86" t="s">
        <v>150</v>
      </c>
      <c r="D16" s="735"/>
      <c r="E16" s="735"/>
      <c r="F16" s="397"/>
      <c r="G16" s="378" t="s">
        <v>32</v>
      </c>
    </row>
    <row r="17" spans="1:7" s="87" customFormat="1" ht="122.25" customHeight="1">
      <c r="A17" s="100"/>
      <c r="B17" s="31" t="str">
        <f t="shared" si="0"/>
        <v>¨</v>
      </c>
      <c r="C17" s="86" t="s">
        <v>151</v>
      </c>
      <c r="D17" s="735"/>
      <c r="E17" s="735"/>
      <c r="F17" s="397"/>
      <c r="G17" s="378" t="s">
        <v>32</v>
      </c>
    </row>
    <row r="18" spans="1:7" s="87" customFormat="1" ht="21" customHeight="1">
      <c r="A18" s="100"/>
      <c r="B18" s="121"/>
      <c r="C18" s="122"/>
      <c r="D18" s="143"/>
      <c r="E18" s="143"/>
      <c r="G18" s="123"/>
    </row>
    <row r="19" spans="1:7" s="85" customFormat="1" ht="23.25">
      <c r="A19" s="727" t="s">
        <v>77</v>
      </c>
      <c r="B19" s="727"/>
      <c r="C19" s="727"/>
      <c r="D19" s="727"/>
      <c r="E19" s="727"/>
      <c r="F19" s="727"/>
      <c r="G19" s="727"/>
    </row>
    <row r="20" spans="1:7" s="85" customFormat="1" ht="5.25" customHeight="1">
      <c r="A20" s="84"/>
      <c r="B20" s="83"/>
      <c r="C20" s="84"/>
      <c r="D20" s="142"/>
      <c r="E20" s="142"/>
      <c r="F20" s="84"/>
      <c r="G20" s="84"/>
    </row>
    <row r="21" spans="1:7" s="91" customFormat="1" ht="34.5" customHeight="1">
      <c r="A21" s="98"/>
      <c r="B21" s="99"/>
      <c r="C21" s="90" t="s">
        <v>76</v>
      </c>
      <c r="D21" s="732" t="s">
        <v>0</v>
      </c>
      <c r="E21" s="732"/>
      <c r="F21" s="441" t="s">
        <v>495</v>
      </c>
      <c r="G21" s="90" t="s">
        <v>60</v>
      </c>
    </row>
    <row r="22" spans="1:7" s="87" customFormat="1" ht="139.5" customHeight="1">
      <c r="A22" s="100"/>
      <c r="B22" s="31" t="str">
        <f t="shared" si="0"/>
        <v>¨</v>
      </c>
      <c r="C22" s="94" t="s">
        <v>152</v>
      </c>
      <c r="D22" s="733"/>
      <c r="E22" s="734"/>
      <c r="F22" s="397"/>
      <c r="G22" s="378" t="s">
        <v>32</v>
      </c>
    </row>
    <row r="23" spans="1:7" s="87" customFormat="1" ht="141.75" customHeight="1">
      <c r="A23" s="100"/>
      <c r="B23" s="31" t="str">
        <f t="shared" si="0"/>
        <v>¨</v>
      </c>
      <c r="C23" s="86" t="s">
        <v>153</v>
      </c>
      <c r="D23" s="733"/>
      <c r="E23" s="734"/>
      <c r="F23" s="397"/>
      <c r="G23" s="378" t="s">
        <v>32</v>
      </c>
    </row>
    <row r="24" spans="1:7" s="87" customFormat="1" ht="156" customHeight="1">
      <c r="A24" s="100"/>
      <c r="B24" s="31" t="str">
        <f t="shared" si="0"/>
        <v>¨</v>
      </c>
      <c r="C24" s="86" t="s">
        <v>154</v>
      </c>
      <c r="D24" s="733"/>
      <c r="E24" s="734"/>
      <c r="F24" s="397"/>
      <c r="G24" s="378" t="s">
        <v>32</v>
      </c>
    </row>
    <row r="25" spans="1:7" s="87" customFormat="1" hidden="1">
      <c r="A25" s="100"/>
      <c r="B25" s="31"/>
      <c r="C25" s="86"/>
      <c r="D25" s="733"/>
      <c r="E25" s="734"/>
      <c r="G25" s="93"/>
    </row>
    <row r="26" spans="1:7" s="87" customFormat="1" hidden="1">
      <c r="A26" s="100"/>
      <c r="B26" s="31"/>
      <c r="C26" s="86"/>
      <c r="D26" s="733"/>
      <c r="E26" s="734"/>
      <c r="G26" s="93"/>
    </row>
    <row r="27" spans="1:7" s="87" customFormat="1" hidden="1">
      <c r="A27" s="100"/>
      <c r="B27" s="31"/>
      <c r="C27" s="86"/>
      <c r="D27" s="733"/>
      <c r="E27" s="734"/>
      <c r="G27" s="93"/>
    </row>
  </sheetData>
  <mergeCells count="19">
    <mergeCell ref="D25:E25"/>
    <mergeCell ref="D26:E26"/>
    <mergeCell ref="D27:E27"/>
    <mergeCell ref="D21:E21"/>
    <mergeCell ref="D22:E22"/>
    <mergeCell ref="D23:E23"/>
    <mergeCell ref="D24:E24"/>
    <mergeCell ref="A19:G19"/>
    <mergeCell ref="A1:G1"/>
    <mergeCell ref="A2:G2"/>
    <mergeCell ref="A3:G3"/>
    <mergeCell ref="A4:G4"/>
    <mergeCell ref="A8:G8"/>
    <mergeCell ref="E10:F10"/>
    <mergeCell ref="E11:F11"/>
    <mergeCell ref="A13:G13"/>
    <mergeCell ref="D15:E15"/>
    <mergeCell ref="D16:E16"/>
    <mergeCell ref="D17:E17"/>
  </mergeCells>
  <dataValidations count="2">
    <dataValidation type="list" allowBlank="1" showInputMessage="1" showErrorMessage="1" sqref="G16:G18 G22:G27">
      <formula1>$K$1:$K$3</formula1>
    </dataValidation>
    <dataValidation type="list" errorStyle="information" allowBlank="1" showInputMessage="1" showErrorMessage="1" prompt="กรุณาเลือก" sqref="G6">
      <formula1>$K$5:$K$8</formula1>
    </dataValidation>
  </dataValidations>
  <pageMargins left="0.39370078740157483" right="0.19685039370078741" top="0.74803149606299213" bottom="0.74803149606299213" header="0.31496062992125984" footer="0.31496062992125984"/>
  <pageSetup paperSize="9" scale="81" orientation="landscape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63</vt:i4>
      </vt:variant>
      <vt:variant>
        <vt:lpstr>ช่วงที่มีชื่อ</vt:lpstr>
      </vt:variant>
      <vt:variant>
        <vt:i4>155</vt:i4>
      </vt:variant>
    </vt:vector>
  </HeadingPairs>
  <TitlesOfParts>
    <vt:vector size="218" baseType="lpstr">
      <vt:lpstr>กำหนดการเข้าเยี่ยม(เปลี่ยนแปลง)</vt:lpstr>
      <vt:lpstr>ปก</vt:lpstr>
      <vt:lpstr>สรุปตัวชี้วัด</vt:lpstr>
      <vt:lpstr>เป้าหมายคุณภาพ</vt:lpstr>
      <vt:lpstr>รายนามคณะกรรมการ</vt:lpstr>
      <vt:lpstr>ประวัติ</vt:lpstr>
      <vt:lpstr>คณบดีรับรอง</vt:lpstr>
      <vt:lpstr>1.1</vt:lpstr>
      <vt:lpstr>1-16.1</vt:lpstr>
      <vt:lpstr>1-16.2</vt:lpstr>
      <vt:lpstr>1-17</vt:lpstr>
      <vt:lpstr>2.1</vt:lpstr>
      <vt:lpstr>2.2</vt:lpstr>
      <vt:lpstr>2.3</vt:lpstr>
      <vt:lpstr>2.4</vt:lpstr>
      <vt:lpstr>2.5</vt:lpstr>
      <vt:lpstr>2.6</vt:lpstr>
      <vt:lpstr>2.7</vt:lpstr>
      <vt:lpstr>2.8</vt:lpstr>
      <vt:lpstr>2-1</vt:lpstr>
      <vt:lpstr>2-2</vt:lpstr>
      <vt:lpstr>2-3</vt:lpstr>
      <vt:lpstr>2-4</vt:lpstr>
      <vt:lpstr>2-14</vt:lpstr>
      <vt:lpstr>3.1</vt:lpstr>
      <vt:lpstr>3.2</vt:lpstr>
      <vt:lpstr>4.1</vt:lpstr>
      <vt:lpstr>4.2</vt:lpstr>
      <vt:lpstr>4.3</vt:lpstr>
      <vt:lpstr>4-5</vt:lpstr>
      <vt:lpstr>4-6</vt:lpstr>
      <vt:lpstr>4-7</vt:lpstr>
      <vt:lpstr>5.1</vt:lpstr>
      <vt:lpstr>5.2</vt:lpstr>
      <vt:lpstr>5-8</vt:lpstr>
      <vt:lpstr>5-9</vt:lpstr>
      <vt:lpstr>5-18.1</vt:lpstr>
      <vt:lpstr>5-18.2</vt:lpstr>
      <vt:lpstr>6.1</vt:lpstr>
      <vt:lpstr>6-10</vt:lpstr>
      <vt:lpstr>6-11</vt:lpstr>
      <vt:lpstr>7.1</vt:lpstr>
      <vt:lpstr>7.2</vt:lpstr>
      <vt:lpstr>7.3</vt:lpstr>
      <vt:lpstr>7.4</vt:lpstr>
      <vt:lpstr>7-12</vt:lpstr>
      <vt:lpstr>7-13</vt:lpstr>
      <vt:lpstr>8.1</vt:lpstr>
      <vt:lpstr>9.1</vt:lpstr>
      <vt:lpstr>9-15</vt:lpstr>
      <vt:lpstr>10-1</vt:lpstr>
      <vt:lpstr>3D11.1</vt:lpstr>
      <vt:lpstr>3D11.2</vt:lpstr>
      <vt:lpstr>ส.1</vt:lpstr>
      <vt:lpstr>ส.2</vt:lpstr>
      <vt:lpstr>ส.3</vt:lpstr>
      <vt:lpstr>ส.4</vt:lpstr>
      <vt:lpstr>ส.5</vt:lpstr>
      <vt:lpstr>จุดที่ควรพัฒนารายองค์</vt:lpstr>
      <vt:lpstr>รวมจุดเด่น-พัฒนา-แนวทางการแก้ไข</vt:lpstr>
      <vt:lpstr>Sheet27</vt:lpstr>
      <vt:lpstr>ป.1 สมศ. 3 ปีย้อนหลัง</vt:lpstr>
      <vt:lpstr>commonDATAset</vt:lpstr>
      <vt:lpstr>'1.1'!Print_Area</vt:lpstr>
      <vt:lpstr>'10-1'!Print_Area</vt:lpstr>
      <vt:lpstr>'1-16.1'!Print_Area</vt:lpstr>
      <vt:lpstr>'1-16.2'!Print_Area</vt:lpstr>
      <vt:lpstr>'1-17'!Print_Area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'2.7'!Print_Area</vt:lpstr>
      <vt:lpstr>'2.8'!Print_Area</vt:lpstr>
      <vt:lpstr>'2-1'!Print_Area</vt:lpstr>
      <vt:lpstr>'2-14'!Print_Area</vt:lpstr>
      <vt:lpstr>'2-2'!Print_Area</vt:lpstr>
      <vt:lpstr>'2-3'!Print_Area</vt:lpstr>
      <vt:lpstr>'3.1'!Print_Area</vt:lpstr>
      <vt:lpstr>'3.2'!Print_Area</vt:lpstr>
      <vt:lpstr>'3D11.1'!Print_Area</vt:lpstr>
      <vt:lpstr>'3D11.2'!Print_Area</vt:lpstr>
      <vt:lpstr>'4.1'!Print_Area</vt:lpstr>
      <vt:lpstr>'4.2'!Print_Area</vt:lpstr>
      <vt:lpstr>'4.3'!Print_Area</vt:lpstr>
      <vt:lpstr>'4-5'!Print_Area</vt:lpstr>
      <vt:lpstr>'4-6'!Print_Area</vt:lpstr>
      <vt:lpstr>'4-7'!Print_Area</vt:lpstr>
      <vt:lpstr>'5.1'!Print_Area</vt:lpstr>
      <vt:lpstr>'5.2'!Print_Area</vt:lpstr>
      <vt:lpstr>'5-18.1'!Print_Area</vt:lpstr>
      <vt:lpstr>'5-18.2'!Print_Area</vt:lpstr>
      <vt:lpstr>'5-8'!Print_Area</vt:lpstr>
      <vt:lpstr>'5-9'!Print_Area</vt:lpstr>
      <vt:lpstr>'6.1'!Print_Area</vt:lpstr>
      <vt:lpstr>'6-10'!Print_Area</vt:lpstr>
      <vt:lpstr>'6-11'!Print_Area</vt:lpstr>
      <vt:lpstr>'7.1'!Print_Area</vt:lpstr>
      <vt:lpstr>'7.2'!Print_Area</vt:lpstr>
      <vt:lpstr>'7.3'!Print_Area</vt:lpstr>
      <vt:lpstr>'7.4'!Print_Area</vt:lpstr>
      <vt:lpstr>'7-12'!Print_Area</vt:lpstr>
      <vt:lpstr>'7-13'!Print_Area</vt:lpstr>
      <vt:lpstr>'8.1'!Print_Area</vt:lpstr>
      <vt:lpstr>'9.1'!Print_Area</vt:lpstr>
      <vt:lpstr>'9-15'!Print_Area</vt:lpstr>
      <vt:lpstr>commonDATAset!Print_Area</vt:lpstr>
      <vt:lpstr>เป้าหมายคุณภาพ!Print_Area</vt:lpstr>
      <vt:lpstr>คณบดีรับรอง!Print_Area</vt:lpstr>
      <vt:lpstr>'ป.1 สมศ. 3 ปีย้อนหลัง'!Print_Area</vt:lpstr>
      <vt:lpstr>ปก!Print_Area</vt:lpstr>
      <vt:lpstr>ประวัติ!Print_Area</vt:lpstr>
      <vt:lpstr>รายนามคณะกรรมการ!Print_Area</vt:lpstr>
      <vt:lpstr>ส.1!Print_Area</vt:lpstr>
      <vt:lpstr>ส.3!Print_Area</vt:lpstr>
      <vt:lpstr>ส.4!Print_Area</vt:lpstr>
      <vt:lpstr>ส.5!Print_Area</vt:lpstr>
      <vt:lpstr>สรุปตัวชี้วัด!Print_Area</vt:lpstr>
      <vt:lpstr>เป้าหมายคุณภาพ!Print_Titles</vt:lpstr>
      <vt:lpstr>'ป.1 สมศ. 3 ปีย้อนหลัง'!Print_Titles</vt:lpstr>
      <vt:lpstr>ส.1!Print_Titles</vt:lpstr>
      <vt:lpstr>reKPI14</vt:lpstr>
      <vt:lpstr>reKPI16.2</vt:lpstr>
      <vt:lpstr>'2-1'!reKPI2</vt:lpstr>
      <vt:lpstr>reKPI2</vt:lpstr>
      <vt:lpstr>rekpi4.3</vt:lpstr>
      <vt:lpstr>rekpi4n</vt:lpstr>
      <vt:lpstr>'4-6'!rekpi5n</vt:lpstr>
      <vt:lpstr>'4-7'!rekpi5n</vt:lpstr>
      <vt:lpstr>'5-8'!rekpi5n</vt:lpstr>
      <vt:lpstr>'7-12'!rekpi5n</vt:lpstr>
      <vt:lpstr>'7-13'!rekpi5n</vt:lpstr>
      <vt:lpstr>'9-15'!rekpi5n</vt:lpstr>
      <vt:lpstr>rekpi5n</vt:lpstr>
      <vt:lpstr>'1.1'!rkpi2.1</vt:lpstr>
      <vt:lpstr>'10-1'!rkpi2.1</vt:lpstr>
      <vt:lpstr>'1-16.1'!rkpi2.1</vt:lpstr>
      <vt:lpstr>'1-17'!rkpi2.1</vt:lpstr>
      <vt:lpstr>'3.1'!rkpi2.1</vt:lpstr>
      <vt:lpstr>'3.2'!rkpi2.1</vt:lpstr>
      <vt:lpstr>'3D11.1'!rkpi2.1</vt:lpstr>
      <vt:lpstr>'3D11.2'!rkpi2.1</vt:lpstr>
      <vt:lpstr>'4.1'!rkpi2.1</vt:lpstr>
      <vt:lpstr>'6.1'!rkpi2.1</vt:lpstr>
      <vt:lpstr>'6-10'!rkpi2.1</vt:lpstr>
      <vt:lpstr>'6-11'!rkpi2.1</vt:lpstr>
      <vt:lpstr>'7.1'!rkpi2.1</vt:lpstr>
      <vt:lpstr>'7.2'!rkpi2.1</vt:lpstr>
      <vt:lpstr>'7.3'!rkpi2.1</vt:lpstr>
      <vt:lpstr>'7.4'!rkpi2.1</vt:lpstr>
      <vt:lpstr>'8.1'!rkpi2.1</vt:lpstr>
      <vt:lpstr>'9.1'!rkpi2.1</vt:lpstr>
      <vt:lpstr>rkpi2.1</vt:lpstr>
      <vt:lpstr>rkpi2.2</vt:lpstr>
      <vt:lpstr>rkpi2.3</vt:lpstr>
      <vt:lpstr>'2.4'!rkpi2.6</vt:lpstr>
      <vt:lpstr>'2.5'!rkpi2.6</vt:lpstr>
      <vt:lpstr>rkpi2.6</vt:lpstr>
      <vt:lpstr>'2.8'!rkpi2.7</vt:lpstr>
      <vt:lpstr>'4.2'!rkpi2.7</vt:lpstr>
      <vt:lpstr>'5.1'!rkpi2.7</vt:lpstr>
      <vt:lpstr>'5.2'!rkpi2.7</vt:lpstr>
      <vt:lpstr>'5-18.1'!rkpi2.7</vt:lpstr>
      <vt:lpstr>'5-18.2'!rkpi2.7</vt:lpstr>
      <vt:lpstr>'5-9'!rkpi2.7</vt:lpstr>
      <vt:lpstr>rkpi2.7</vt:lpstr>
      <vt:lpstr>sKPI14</vt:lpstr>
      <vt:lpstr>sKPI16.2</vt:lpstr>
      <vt:lpstr>'2-1'!sKPI2</vt:lpstr>
      <vt:lpstr>sKPI2</vt:lpstr>
      <vt:lpstr>'1.1'!skpi2.1</vt:lpstr>
      <vt:lpstr>'10-1'!skpi2.1</vt:lpstr>
      <vt:lpstr>'1-16.1'!skpi2.1</vt:lpstr>
      <vt:lpstr>'1-17'!skpi2.1</vt:lpstr>
      <vt:lpstr>'3.1'!skpi2.1</vt:lpstr>
      <vt:lpstr>'3.2'!skpi2.1</vt:lpstr>
      <vt:lpstr>'3D11.1'!skpi2.1</vt:lpstr>
      <vt:lpstr>'3D11.2'!skpi2.1</vt:lpstr>
      <vt:lpstr>'4.1'!skpi2.1</vt:lpstr>
      <vt:lpstr>'6.1'!skpi2.1</vt:lpstr>
      <vt:lpstr>'6-10'!skpi2.1</vt:lpstr>
      <vt:lpstr>'6-11'!skpi2.1</vt:lpstr>
      <vt:lpstr>'7.1'!skpi2.1</vt:lpstr>
      <vt:lpstr>'7.2'!skpi2.1</vt:lpstr>
      <vt:lpstr>'7.3'!skpi2.1</vt:lpstr>
      <vt:lpstr>'7.4'!skpi2.1</vt:lpstr>
      <vt:lpstr>'8.1'!skpi2.1</vt:lpstr>
      <vt:lpstr>'9.1'!skpi2.1</vt:lpstr>
      <vt:lpstr>skpi2.1</vt:lpstr>
      <vt:lpstr>skpi2.2</vt:lpstr>
      <vt:lpstr>skpi2.3</vt:lpstr>
      <vt:lpstr>'2.4'!skpi2.6</vt:lpstr>
      <vt:lpstr>'2.5'!skpi2.6</vt:lpstr>
      <vt:lpstr>skpi2.6</vt:lpstr>
      <vt:lpstr>'2.8'!skpi2.7</vt:lpstr>
      <vt:lpstr>'4.2'!skpi2.7</vt:lpstr>
      <vt:lpstr>'5.1'!skpi2.7</vt:lpstr>
      <vt:lpstr>'5.2'!skpi2.7</vt:lpstr>
      <vt:lpstr>'5-18.1'!skpi2.7</vt:lpstr>
      <vt:lpstr>'5-18.2'!skpi2.7</vt:lpstr>
      <vt:lpstr>'5-9'!skpi2.7</vt:lpstr>
      <vt:lpstr>skpi2.7</vt:lpstr>
      <vt:lpstr>skpi4.3</vt:lpstr>
      <vt:lpstr>skpi4n</vt:lpstr>
      <vt:lpstr>'4-6'!skpi5n</vt:lpstr>
      <vt:lpstr>'4-7'!skpi5n</vt:lpstr>
      <vt:lpstr>'5-8'!skpi5n</vt:lpstr>
      <vt:lpstr>'7-12'!skpi5n</vt:lpstr>
      <vt:lpstr>'7-13'!skpi5n</vt:lpstr>
      <vt:lpstr>'9-15'!skpi5n</vt:lpstr>
      <vt:lpstr>skpi5n</vt:lpstr>
      <vt:lpstr>sskpi2.2</vt:lpstr>
      <vt:lpstr>กลุ่มสาขา</vt:lpstr>
      <vt:lpstr>คณะ</vt:lpstr>
      <vt:lpstr>คณะ_วิทยาลัย</vt:lpstr>
      <vt:lpstr>หน่วยงาน</vt:lpstr>
    </vt:vector>
  </TitlesOfParts>
  <Company>Master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Peeake</cp:lastModifiedBy>
  <cp:lastPrinted>2014-02-03T04:32:57Z</cp:lastPrinted>
  <dcterms:created xsi:type="dcterms:W3CDTF">2011-03-03T08:37:59Z</dcterms:created>
  <dcterms:modified xsi:type="dcterms:W3CDTF">2014-02-03T07:12:47Z</dcterms:modified>
</cp:coreProperties>
</file>